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9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45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externalLinks/externalLink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43.xml" ContentType="application/vnd.openxmlformats-officedocument.spreadsheetml.externalLink+xml"/>
  <Override PartName="/xl/worksheets/sheet3.xml" ContentType="application/vnd.openxmlformats-officedocument.spreadsheetml.worksheet+xml"/>
  <Override PartName="/xl/externalLinks/externalLink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5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50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bin" ContentType="application/vnd.openxmlformats-officedocument.spreadsheetml.printerSettings"/>
  <Default Extension="png" ContentType="image/png"/>
  <Override PartName="/xl/externalLinks/externalLink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8.xml" ContentType="application/vnd.openxmlformats-officedocument.spreadsheetml.externalLink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46.xml" ContentType="application/vnd.openxmlformats-officedocument.spreadsheetml.externalLink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53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51.xml" ContentType="application/vnd.openxmlformats-officedocument.spreadsheetml.externalLink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0" yWindow="45" windowWidth="12390" windowHeight="8445" tabRatio="633"/>
  </bookViews>
  <sheets>
    <sheet name="1-Ф3" sheetId="28" r:id="rId1"/>
    <sheet name="2-ф2" sheetId="8" r:id="rId2"/>
    <sheet name="3-Баланс" sheetId="67" r:id="rId3"/>
    <sheet name="Исх" sheetId="53" r:id="rId4"/>
    <sheet name="Дох" sheetId="62" r:id="rId5"/>
    <sheet name="Расх перем" sheetId="63" r:id="rId6"/>
    <sheet name="Производство" sheetId="69" r:id="rId7"/>
    <sheet name="ФОТ" sheetId="65" r:id="rId8"/>
    <sheet name="Пост" sheetId="66" r:id="rId9"/>
    <sheet name="кр" sheetId="64" r:id="rId10"/>
    <sheet name="Инв" sheetId="59" r:id="rId11"/>
    <sheet name="безубыт" sheetId="61" r:id="rId12"/>
    <sheet name="для текста" sheetId="33" r:id="rId13"/>
  </sheets>
  <externalReferences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</externalReferences>
  <definedNames>
    <definedName name="__kpn1">[1]Главн!$D$46</definedName>
    <definedName name="__kpn2">[1]Главн!$E$46</definedName>
    <definedName name="__kpn3">[1]Главн!$F$46</definedName>
    <definedName name="__kpn4">[1]Главн!$G$46</definedName>
    <definedName name="__kpn5">[1]Главн!$H$46</definedName>
    <definedName name="__kpn6">[1]Главн!$I$46</definedName>
    <definedName name="__kpn7">[1]Главн!$J$46</definedName>
    <definedName name="__kpn8">[1]Главн!$K$46</definedName>
    <definedName name="__nds1">[1]Главн!$D$42</definedName>
    <definedName name="__nds2">[1]Главн!$E$42</definedName>
    <definedName name="__nds3">[1]Главн!$F$42</definedName>
    <definedName name="__nds4">[1]Главн!$G$42</definedName>
    <definedName name="__nds5">[1]Главн!$H$42</definedName>
    <definedName name="__nds6">[1]Главн!$I$42</definedName>
    <definedName name="_kpn1" localSheetId="2">[2]Главн!$D$46</definedName>
    <definedName name="_kpn1" localSheetId="9">[3]Главн!$D$46</definedName>
    <definedName name="_kpn1" localSheetId="6">#REF!</definedName>
    <definedName name="_kpn1">[4]Главн!$D$46</definedName>
    <definedName name="_kpn2" localSheetId="2">[2]Главн!$E$46</definedName>
    <definedName name="_kpn2" localSheetId="9">[3]Главн!$E$46</definedName>
    <definedName name="_kpn2" localSheetId="6">#REF!</definedName>
    <definedName name="_kpn2">[4]Главн!$E$46</definedName>
    <definedName name="_kpn3" localSheetId="2">[2]Главн!$F$46</definedName>
    <definedName name="_kpn3" localSheetId="9">[3]Главн!$F$46</definedName>
    <definedName name="_kpn3" localSheetId="6">#REF!</definedName>
    <definedName name="_kpn3">[4]Главн!$F$46</definedName>
    <definedName name="_kpn4" localSheetId="2">[2]Главн!$G$46</definedName>
    <definedName name="_kpn4" localSheetId="9">[3]Главн!$G$46</definedName>
    <definedName name="_kpn4" localSheetId="6">#REF!</definedName>
    <definedName name="_kpn4">[4]Главн!$G$46</definedName>
    <definedName name="_kpn5" localSheetId="2">[2]Главн!$H$46</definedName>
    <definedName name="_kpn5" localSheetId="9">[3]Главн!$H$46</definedName>
    <definedName name="_kpn5" localSheetId="6">#REF!</definedName>
    <definedName name="_kpn5">[4]Главн!$H$46</definedName>
    <definedName name="_kpn6" localSheetId="2">[2]Главн!$I$46</definedName>
    <definedName name="_kpn6" localSheetId="9">[3]Главн!$I$46</definedName>
    <definedName name="_kpn6" localSheetId="6">#REF!</definedName>
    <definedName name="_kpn6">[4]Главн!$I$46</definedName>
    <definedName name="_kpn7" localSheetId="2">[2]Главн!$J$46</definedName>
    <definedName name="_kpn7" localSheetId="9">[3]Главн!$J$46</definedName>
    <definedName name="_kpn7" localSheetId="6">#REF!</definedName>
    <definedName name="_kpn7">[4]Главн!$J$46</definedName>
    <definedName name="_kpn8" localSheetId="2">[2]Главн!$K$46</definedName>
    <definedName name="_kpn8" localSheetId="9">[3]Главн!$K$46</definedName>
    <definedName name="_kpn8" localSheetId="6">#REF!</definedName>
    <definedName name="_kpn8">[4]Главн!$K$46</definedName>
    <definedName name="_nds1" localSheetId="2">[2]Главн!$D$42</definedName>
    <definedName name="_nds1" localSheetId="9">[3]Главн!$D$42</definedName>
    <definedName name="_nds1" localSheetId="6">#REF!</definedName>
    <definedName name="_nds1">[4]Главн!$D$42</definedName>
    <definedName name="_nds2" localSheetId="2">[2]Главн!$E$42</definedName>
    <definedName name="_nds2" localSheetId="9">[3]Главн!$E$42</definedName>
    <definedName name="_nds2" localSheetId="6">#REF!</definedName>
    <definedName name="_nds2">[4]Главн!$E$42</definedName>
    <definedName name="_nds3" localSheetId="2">[2]Главн!$F$42</definedName>
    <definedName name="_nds3" localSheetId="9">[3]Главн!$F$42</definedName>
    <definedName name="_nds3" localSheetId="6">#REF!</definedName>
    <definedName name="_nds3">[4]Главн!$F$42</definedName>
    <definedName name="_nds4" localSheetId="2">[2]Главн!$G$42</definedName>
    <definedName name="_nds4" localSheetId="9">[3]Главн!$G$42</definedName>
    <definedName name="_nds4" localSheetId="6">#REF!</definedName>
    <definedName name="_nds4">[4]Главн!$G$42</definedName>
    <definedName name="_nds5" localSheetId="2">[2]Главн!$H$42</definedName>
    <definedName name="_nds5" localSheetId="9">[3]Главн!$H$42</definedName>
    <definedName name="_nds5" localSheetId="6">#REF!</definedName>
    <definedName name="_nds5">[4]Главн!$H$42</definedName>
    <definedName name="_nds6" localSheetId="2">[2]Главн!$I$42</definedName>
    <definedName name="_nds6" localSheetId="9">[3]Главн!$I$42</definedName>
    <definedName name="_nds6" localSheetId="6">#REF!</definedName>
    <definedName name="_nds6">[4]Главн!$I$42</definedName>
    <definedName name="areket" localSheetId="2">#REF!</definedName>
    <definedName name="areket">#REF!</definedName>
    <definedName name="areket2" localSheetId="2">#REF!</definedName>
    <definedName name="areket2">#REF!</definedName>
    <definedName name="cfb">[5]NPV!$F$18</definedName>
    <definedName name="curr" localSheetId="2">#REF!</definedName>
    <definedName name="curr">#REF!</definedName>
    <definedName name="DcB">'[6]Дин. оборотн. ср-в!!!'!$B$17+'[6]Дин. оборотн. ср-в!!!'!$B$18+'[6]Дин. оборотн. ср-в!!!'!$B$19+'[6]Дин. оборотн. ср-в!!!'!$B$20</definedName>
    <definedName name="DcF">'[6]Дин. оборотн. ср-в!!!'!$F$17+'[6]Дин. оборотн. ср-в!!!'!$F$18+'[6]Дин. оборотн. ср-в!!!'!$F$19+'[6]Дин. оборотн. ср-в!!!'!$F$20</definedName>
    <definedName name="DF">'[6]Дин. оборотн. ср-в!!!'!$F$25+'[6]Дин. оборотн. ср-в!!!'!$F$26+'[6]Дин. оборотн. ср-в!!!'!$F$27+'[6]Дин. оборотн. ср-в!!!'!$F$28+'[6]Дин. оборотн. ср-в!!!'!$F$29+'[6]Дин. оборотн. ср-в!!!'!$F$30+'[6]Дин. оборотн. ср-в!!!'!$F$31</definedName>
    <definedName name="DG">'[6]Дин. оборотн. ср-в!!!'!$B$25+'[6]Дин. оборотн. ср-в!!!'!$B$26+'[6]Дин. оборотн. ср-в!!!'!$B$27+'[6]Дин. оборотн. ср-в!!!'!$B$28+'[6]Дин. оборотн. ср-в!!!'!$B$29+'[6]Дин. оборотн. ср-в!!!'!$B$30+'[6]Дин. оборотн. ср-в!!!'!$B$31</definedName>
    <definedName name="Ed." localSheetId="2">#REF!</definedName>
    <definedName name="Ed." localSheetId="4">#REF!</definedName>
    <definedName name="Ed." localSheetId="8">#REF!</definedName>
    <definedName name="Ed." localSheetId="6">#REF!</definedName>
    <definedName name="Ed." localSheetId="5">#REF!</definedName>
    <definedName name="Ed." localSheetId="7">#REF!</definedName>
    <definedName name="Ed.">#REF!</definedName>
    <definedName name="EUR">[7]Свод!$C$9</definedName>
    <definedName name="EURO">'[8]Осн. пара'!$C$8</definedName>
    <definedName name="imush1" localSheetId="2">[2]Главн!$D$44</definedName>
    <definedName name="imush1" localSheetId="9">[3]Главн!$D$44</definedName>
    <definedName name="imush1" localSheetId="6">#REF!</definedName>
    <definedName name="imush1">[1]Главн!$D$44</definedName>
    <definedName name="imush2" localSheetId="2">[2]Главн!$E$44</definedName>
    <definedName name="imush2" localSheetId="9">[3]Главн!$E$44</definedName>
    <definedName name="imush2" localSheetId="6">#REF!</definedName>
    <definedName name="imush2">[1]Главн!$E$44</definedName>
    <definedName name="imush3" localSheetId="2">[2]Главн!$F$44</definedName>
    <definedName name="imush3" localSheetId="9">[3]Главн!$F$44</definedName>
    <definedName name="imush3" localSheetId="6">#REF!</definedName>
    <definedName name="imush3">[1]Главн!$F$44</definedName>
    <definedName name="imush4" localSheetId="2">[2]Главн!$G$44</definedName>
    <definedName name="imush4" localSheetId="9">[3]Главн!$G$44</definedName>
    <definedName name="imush4" localSheetId="6">#REF!</definedName>
    <definedName name="imush4">[1]Главн!$G$44</definedName>
    <definedName name="imush5" localSheetId="2">[2]Главн!$H$44</definedName>
    <definedName name="imush5" localSheetId="9">[3]Главн!$H$44</definedName>
    <definedName name="imush5" localSheetId="6">#REF!</definedName>
    <definedName name="imush5">[1]Главн!$H$44</definedName>
    <definedName name="imush6" localSheetId="2">[2]Главн!$I$44</definedName>
    <definedName name="imush6" localSheetId="9">[3]Главн!$I$44</definedName>
    <definedName name="imush6" localSheetId="6">#REF!</definedName>
    <definedName name="imush6">[1]Главн!$I$44</definedName>
    <definedName name="imush7" localSheetId="2">[2]Главн!$J$44</definedName>
    <definedName name="imush7" localSheetId="9">[3]Главн!$J$44</definedName>
    <definedName name="imush7" localSheetId="6">#REF!</definedName>
    <definedName name="imush7">[1]Главн!$J$44</definedName>
    <definedName name="imush8" localSheetId="2">[2]Главн!$K$44</definedName>
    <definedName name="imush8" localSheetId="9">[3]Главн!$K$44</definedName>
    <definedName name="imush8" localSheetId="6">#REF!</definedName>
    <definedName name="imush8">[1]Главн!$K$44</definedName>
    <definedName name="inf" localSheetId="2">[2]Главн!$C$35</definedName>
    <definedName name="inf" localSheetId="9">[3]Главн!$C$35</definedName>
    <definedName name="inf" localSheetId="6">#REF!</definedName>
    <definedName name="inf">[1]Главн!$C$35</definedName>
    <definedName name="kurs" localSheetId="2">#REF!</definedName>
    <definedName name="kurs">#REF!</definedName>
    <definedName name="kurs2" localSheetId="2">[2]Главн!$C$31</definedName>
    <definedName name="kurs2" localSheetId="9">[3]Главн!$C$31</definedName>
    <definedName name="kurs2" localSheetId="6">#REF!</definedName>
    <definedName name="kurs2">[1]Главн!$C$31</definedName>
    <definedName name="lgot1" localSheetId="2">[2]Главн!$D$41</definedName>
    <definedName name="lgot1" localSheetId="9">[3]Главн!$D$41</definedName>
    <definedName name="lgot1" localSheetId="6">#REF!</definedName>
    <definedName name="lgot1">[1]Главн!$D$41</definedName>
    <definedName name="lgot2" localSheetId="2">[2]Главн!$E$41</definedName>
    <definedName name="lgot2" localSheetId="9">[3]Главн!$E$41</definedName>
    <definedName name="lgot2" localSheetId="6">#REF!</definedName>
    <definedName name="lgot2">[1]Главн!$E$41</definedName>
    <definedName name="lgot3" localSheetId="2">[2]Главн!$F$41</definedName>
    <definedName name="lgot3" localSheetId="9">[3]Главн!$F$41</definedName>
    <definedName name="lgot3" localSheetId="6">#REF!</definedName>
    <definedName name="lgot3">[1]Главн!$F$41</definedName>
    <definedName name="lgot4" localSheetId="2">[2]Главн!$G$41</definedName>
    <definedName name="lgot4" localSheetId="9">[3]Главн!$G$41</definedName>
    <definedName name="lgot4" localSheetId="6">#REF!</definedName>
    <definedName name="lgot4">[1]Главн!$G$41</definedName>
    <definedName name="lgot5" localSheetId="2">[2]Главн!$H$41</definedName>
    <definedName name="lgot5" localSheetId="9">[3]Главн!$H$41</definedName>
    <definedName name="lgot5" localSheetId="6">#REF!</definedName>
    <definedName name="lgot5">[1]Главн!$H$41</definedName>
    <definedName name="name" localSheetId="2">[2]Главн!$C$2</definedName>
    <definedName name="name" localSheetId="9">[3]Главн!$C$2</definedName>
    <definedName name="name" localSheetId="6">#REF!</definedName>
    <definedName name="name">[1]Главн!$C$2</definedName>
    <definedName name="price">[7]Свод!$C$11</definedName>
    <definedName name="remont" localSheetId="2">[2]Амортиз!$F$125</definedName>
    <definedName name="remont" localSheetId="9">[3]Амортиз!$F$125</definedName>
    <definedName name="remont" localSheetId="6">#REF!</definedName>
    <definedName name="remont">[1]Амортиз!$F$125</definedName>
    <definedName name="RUR" localSheetId="2">[7]Свод!#REF!</definedName>
    <definedName name="RUR" localSheetId="4">[7]Свод!#REF!</definedName>
    <definedName name="RUR" localSheetId="8">[7]Свод!#REF!</definedName>
    <definedName name="RUR" localSheetId="6">[7]Свод!#REF!</definedName>
    <definedName name="RUR" localSheetId="5">[7]Свод!#REF!</definedName>
    <definedName name="RUR" localSheetId="7">[7]Свод!#REF!</definedName>
    <definedName name="RUR">[7]Свод!#REF!</definedName>
    <definedName name="USD" localSheetId="9">[7]Свод!#REF!</definedName>
    <definedName name="USD">'[8]Осн. пара'!$C$4</definedName>
    <definedName name="valuta" localSheetId="2">[2]Главн!$C$21</definedName>
    <definedName name="valuta" localSheetId="9">[3]Главн!$C$21</definedName>
    <definedName name="valuta" localSheetId="6">#REF!</definedName>
    <definedName name="valuta">[1]Главн!$C$21</definedName>
    <definedName name="valuta2" localSheetId="2">[2]Главн!$C$19</definedName>
    <definedName name="valuta2" localSheetId="9">[3]Главн!$C$19</definedName>
    <definedName name="valuta2" localSheetId="6">#REF!</definedName>
    <definedName name="valuta2">[1]Главн!$C$19</definedName>
    <definedName name="Z_9D8A7FE8_EB32_11D6_AAD8_00E04C390749_.wvu.Cols" localSheetId="2" hidden="1">#REF!</definedName>
    <definedName name="Z_9D8A7FE8_EB32_11D6_AAD8_00E04C390749_.wvu.Cols" hidden="1">#REF!</definedName>
    <definedName name="АвПокуп" localSheetId="2">#REF!</definedName>
    <definedName name="АвПокуп">#REF!</definedName>
    <definedName name="АвПокуп1" localSheetId="2">#REF!</definedName>
    <definedName name="АвПокуп1">#REF!</definedName>
    <definedName name="АвПост" localSheetId="2">#REF!</definedName>
    <definedName name="АвПост">#REF!</definedName>
    <definedName name="АвПост1" localSheetId="2">#REF!</definedName>
    <definedName name="АвПост1">#REF!</definedName>
    <definedName name="адм" localSheetId="2">#REF!</definedName>
    <definedName name="адм" localSheetId="9">#REF!</definedName>
    <definedName name="адм" localSheetId="6">#REF!</definedName>
    <definedName name="адм">#REF!</definedName>
    <definedName name="арекет" localSheetId="0">#REF!</definedName>
    <definedName name="арекет" localSheetId="2">#REF!</definedName>
    <definedName name="арекет">#REF!</definedName>
    <definedName name="арекет2" localSheetId="0">#REF!</definedName>
    <definedName name="арекет2" localSheetId="2">#REF!</definedName>
    <definedName name="арекет2">#REF!</definedName>
    <definedName name="арекет3" localSheetId="0">#REF!</definedName>
    <definedName name="арекет3" localSheetId="2">#REF!</definedName>
    <definedName name="арекет3">#REF!</definedName>
    <definedName name="арэк" localSheetId="0">#REF!</definedName>
    <definedName name="арэк" localSheetId="2">#REF!</definedName>
    <definedName name="арэк">#REF!</definedName>
    <definedName name="арэк2" localSheetId="0">#REF!</definedName>
    <definedName name="арэк2" localSheetId="2">#REF!</definedName>
    <definedName name="арэк2">#REF!</definedName>
    <definedName name="арэк3" localSheetId="0">#REF!</definedName>
    <definedName name="арэк3" localSheetId="2">#REF!</definedName>
    <definedName name="арэк3">#REF!</definedName>
    <definedName name="аств" localSheetId="0">#REF!</definedName>
    <definedName name="аств" localSheetId="2">#REF!</definedName>
    <definedName name="аств">#REF!</definedName>
    <definedName name="аств2" localSheetId="0">#REF!</definedName>
    <definedName name="аств2" localSheetId="2">#REF!</definedName>
    <definedName name="аств2">#REF!</definedName>
    <definedName name="аств3" localSheetId="0">#REF!</definedName>
    <definedName name="аств3" localSheetId="2">#REF!</definedName>
    <definedName name="аств3">#REF!</definedName>
    <definedName name="атырау" localSheetId="0">#REF!</definedName>
    <definedName name="атырау" localSheetId="2">#REF!</definedName>
    <definedName name="атырау">#REF!</definedName>
    <definedName name="атырау2" localSheetId="0">#REF!</definedName>
    <definedName name="атырау2" localSheetId="2">#REF!</definedName>
    <definedName name="атырау2">#REF!</definedName>
    <definedName name="атырау3" localSheetId="0">#REF!</definedName>
    <definedName name="атырау3" localSheetId="2">#REF!</definedName>
    <definedName name="атырау3">#REF!</definedName>
    <definedName name="баланс_стоимость" localSheetId="2">'[9]объекты обществаКокшетау'!#REF!</definedName>
    <definedName name="баланс_стоимость" localSheetId="4">'[10]объекты обществаКокшетау'!#REF!</definedName>
    <definedName name="баланс_стоимость" localSheetId="9">'[11]объекты обществаКокшетау'!#REF!</definedName>
    <definedName name="баланс_стоимость" localSheetId="8">'[10]объекты обществаКокшетау'!#REF!</definedName>
    <definedName name="баланс_стоимость" localSheetId="6">#REF!</definedName>
    <definedName name="баланс_стоимость" localSheetId="5">'[10]объекты обществаКокшетау'!#REF!</definedName>
    <definedName name="баланс_стоимость" localSheetId="7">'[10]объекты обществаКокшетау'!#REF!</definedName>
    <definedName name="баланс_стоимость">'[10]объекты обществаКокшетау'!#REF!</definedName>
    <definedName name="бву">'[12]Фин. пок-ли'!$C$17</definedName>
    <definedName name="ВА1" localSheetId="2">#REF!</definedName>
    <definedName name="ВА1">#REF!</definedName>
    <definedName name="Вал" localSheetId="2">#REF!</definedName>
    <definedName name="Вал" localSheetId="9">#REF!</definedName>
    <definedName name="Вал" localSheetId="6">#REF!</definedName>
    <definedName name="Вал">#REF!</definedName>
    <definedName name="ВалП1" localSheetId="2">#REF!</definedName>
    <definedName name="ВалП1" localSheetId="4">#REF!</definedName>
    <definedName name="ВалП1" localSheetId="8">#REF!</definedName>
    <definedName name="ВалП1" localSheetId="6">#REF!</definedName>
    <definedName name="ВалП1" localSheetId="5">#REF!</definedName>
    <definedName name="ВалП1" localSheetId="7">#REF!</definedName>
    <definedName name="ВалП1">#REF!</definedName>
    <definedName name="Валюта" localSheetId="2">#REF!</definedName>
    <definedName name="Валюта">#REF!</definedName>
    <definedName name="вид_инвестиций" localSheetId="2">[2]Invest!$C$7:$C$240</definedName>
    <definedName name="вид_инвестиций" localSheetId="9">[3]Invest!$C$7:$C$240</definedName>
    <definedName name="вид_инвестиций" localSheetId="6">#REF!</definedName>
    <definedName name="вид_инвестиций">[1]Invest!$C$7:$C$240</definedName>
    <definedName name="Вита_осн">'[13]ИсхД+'!$A$2</definedName>
    <definedName name="ВК" localSheetId="2">#REF!</definedName>
    <definedName name="ВК">#REF!</definedName>
    <definedName name="ВК1" localSheetId="2">#REF!</definedName>
    <definedName name="ВК1">#REF!</definedName>
    <definedName name="ВК2" localSheetId="2">#REF!</definedName>
    <definedName name="ВК2">#REF!</definedName>
    <definedName name="ВК3" localSheetId="2">#REF!</definedName>
    <definedName name="ВК3">#REF!</definedName>
    <definedName name="вложения" localSheetId="2">'[2]Граф кап инвестиц'!$B$8:$B$12</definedName>
    <definedName name="вложения" localSheetId="9">'[3]Граф кап инвестиц'!$B$8:$B$12</definedName>
    <definedName name="вложения" localSheetId="6">#REF!</definedName>
    <definedName name="вложения">'[1]Граф кап инвестиц'!$B$8:$B$12</definedName>
    <definedName name="ВР1" localSheetId="2">#REF!</definedName>
    <definedName name="ВР1">#REF!</definedName>
    <definedName name="ВРО1" localSheetId="2">#REF!</definedName>
    <definedName name="ВРО1">#REF!</definedName>
    <definedName name="всего_долл" localSheetId="2">'[9]объекты обществаКокшетау'!#REF!</definedName>
    <definedName name="всего_долл" localSheetId="4">'[10]объекты обществаКокшетау'!#REF!</definedName>
    <definedName name="всего_долл" localSheetId="9">'[11]объекты обществаКокшетау'!#REF!</definedName>
    <definedName name="всего_долл" localSheetId="8">'[10]объекты обществаКокшетау'!#REF!</definedName>
    <definedName name="всего_долл" localSheetId="6">#REF!</definedName>
    <definedName name="всего_долл" localSheetId="5">'[10]объекты обществаКокшетау'!#REF!</definedName>
    <definedName name="всего_долл" localSheetId="7">'[10]объекты обществаКокшетау'!#REF!</definedName>
    <definedName name="всего_долл">'[10]объекты обществаКокшетау'!#REF!</definedName>
    <definedName name="газсервис" localSheetId="0">#REF!</definedName>
    <definedName name="газсервис" localSheetId="2">#REF!</definedName>
    <definedName name="газсервис">#REF!</definedName>
    <definedName name="газсервис2" localSheetId="0">#REF!</definedName>
    <definedName name="газсервис2" localSheetId="2">#REF!</definedName>
    <definedName name="газсервис2">#REF!</definedName>
    <definedName name="газсервис3" localSheetId="0">#REF!</definedName>
    <definedName name="газсервис3" localSheetId="2">#REF!</definedName>
    <definedName name="газсервис3">#REF!</definedName>
    <definedName name="год">[14]Осн.показ!$D$8</definedName>
    <definedName name="год1">[14]Осн.показ!$D$9</definedName>
    <definedName name="ГотПр" localSheetId="2">#REF!</definedName>
    <definedName name="ГотПр">#REF!</definedName>
    <definedName name="ГотПр1" localSheetId="2">#REF!</definedName>
    <definedName name="ГотПр1">#REF!</definedName>
    <definedName name="д" localSheetId="2">#REF!</definedName>
    <definedName name="д">#REF!</definedName>
    <definedName name="Дебиторская__задолженность">'[6]Дин. оборотн. ср-в!!!'!$B$25+'[6]Дин. оборотн. ср-в!!!'!$B$26+'[6]Дин. оборотн. ср-в!!!'!$B$27+'[6]Дин. оборотн. ср-в!!!'!$B$28+'[6]Дин. оборотн. ср-в!!!'!$B$29+'[6]Дин. оборотн. ср-в!!!'!$B$30+'[6]Дин. оборотн. ср-в!!!'!$B$31+'[6]Дин. оборотн. ср-в!!!'!$B$33</definedName>
    <definedName name="Дебиторская_задолженность_Ст_сть_всех_активов">'[6]Уровень показателей!!!'!$E$18/'[6]Б3!!!'!$C$58</definedName>
    <definedName name="ДЗ" localSheetId="2">#REF!</definedName>
    <definedName name="ДЗ">#REF!</definedName>
    <definedName name="ДЗ1" localSheetId="2">#REF!</definedName>
    <definedName name="ДЗ1">#REF!</definedName>
    <definedName name="дз1к">[6]Б1!$D$34+[6]Б1!$D$35+[6]Б1!$D$36+[6]Б1!$D$37+[6]Б1!$D$38+[6]Б1!$D$39</definedName>
    <definedName name="дз1н">[6]Б1!$C$34++[6]Б1!$C$35+[6]Б1!$C$36+[6]Б1!$C$37+[6]Б1!$C$38+[6]Б1!$C$39</definedName>
    <definedName name="дз94к" localSheetId="2">[6]Б1!#REF!+[6]Б1!#REF!+[6]Б1!#REF!+[6]Б1!#REF!+[6]Б1!#REF!+[6]Б1!#REF!+[6]Б1!#REF!</definedName>
    <definedName name="дз94к" localSheetId="4">[6]Б1!#REF!+[6]Б1!#REF!+[6]Б1!#REF!+[6]Б1!#REF!+[6]Б1!#REF!+[6]Б1!#REF!+[6]Б1!#REF!</definedName>
    <definedName name="дз94к" localSheetId="8">[6]Б1!#REF!+[6]Б1!#REF!+[6]Б1!#REF!+[6]Б1!#REF!+[6]Б1!#REF!+[6]Б1!#REF!+[6]Б1!#REF!</definedName>
    <definedName name="дз94к" localSheetId="6">[6]Б1!#REF!+[6]Б1!#REF!+[6]Б1!#REF!+[6]Б1!#REF!+[6]Б1!#REF!+[6]Б1!#REF!+[6]Б1!#REF!</definedName>
    <definedName name="дз94к" localSheetId="5">[6]Б1!#REF!+[6]Б1!#REF!+[6]Б1!#REF!+[6]Б1!#REF!+[6]Б1!#REF!+[6]Б1!#REF!+[6]Б1!#REF!</definedName>
    <definedName name="дз94к" localSheetId="7">[6]Б1!#REF!+[6]Б1!#REF!+[6]Б1!#REF!+[6]Б1!#REF!+[6]Б1!#REF!+[6]Б1!#REF!+[6]Б1!#REF!</definedName>
    <definedName name="дз94к">[6]Б1!#REF!+[6]Б1!#REF!+[6]Б1!#REF!+[6]Б1!#REF!+[6]Б1!#REF!+[6]Б1!#REF!+[6]Б1!#REF!</definedName>
    <definedName name="дз94н" localSheetId="2">[6]Б1!#REF!+[6]Б1!#REF!+[6]Б1!#REF!+[6]Б1!#REF!+[6]Б1!#REF!+[6]Б1!#REF!+[6]Б1!#REF!</definedName>
    <definedName name="дз94н" localSheetId="4">[6]Б1!#REF!+[6]Б1!#REF!+[6]Б1!#REF!+[6]Б1!#REF!+[6]Б1!#REF!+[6]Б1!#REF!+[6]Б1!#REF!</definedName>
    <definedName name="дз94н" localSheetId="8">[6]Б1!#REF!+[6]Б1!#REF!+[6]Б1!#REF!+[6]Б1!#REF!+[6]Б1!#REF!+[6]Б1!#REF!+[6]Б1!#REF!</definedName>
    <definedName name="дз94н" localSheetId="6">[6]Б1!#REF!+[6]Б1!#REF!+[6]Б1!#REF!+[6]Б1!#REF!+[6]Б1!#REF!+[6]Б1!#REF!+[6]Б1!#REF!</definedName>
    <definedName name="дз94н" localSheetId="5">[6]Б1!#REF!+[6]Б1!#REF!+[6]Б1!#REF!+[6]Б1!#REF!+[6]Б1!#REF!+[6]Б1!#REF!+[6]Б1!#REF!</definedName>
    <definedName name="дз94н" localSheetId="7">[6]Б1!#REF!+[6]Б1!#REF!+[6]Б1!#REF!+[6]Б1!#REF!+[6]Б1!#REF!+[6]Б1!#REF!+[6]Б1!#REF!</definedName>
    <definedName name="дз94н">[6]Б1!#REF!+[6]Б1!#REF!+[6]Б1!#REF!+[6]Б1!#REF!+[6]Б1!#REF!+[6]Б1!#REF!+[6]Б1!#REF!</definedName>
    <definedName name="ДК1" localSheetId="2">#REF!</definedName>
    <definedName name="ДК1">#REF!</definedName>
    <definedName name="дол" localSheetId="2">#REF!</definedName>
    <definedName name="дол">#REF!</definedName>
    <definedName name="долл" localSheetId="2">#REF!</definedName>
    <definedName name="долл" localSheetId="4">#REF!</definedName>
    <definedName name="долл" localSheetId="9">[15]Исх!$C$16</definedName>
    <definedName name="долл" localSheetId="8">#REF!</definedName>
    <definedName name="долл" localSheetId="6">#REF!</definedName>
    <definedName name="долл" localSheetId="5">#REF!</definedName>
    <definedName name="долл" localSheetId="7">ФОТ!#REF!</definedName>
    <definedName name="долл">#REF!</definedName>
    <definedName name="доллар" localSheetId="2">[16]Параметры!$C$18</definedName>
    <definedName name="доллар" localSheetId="9">[17]Параметры!$C$18</definedName>
    <definedName name="доллар" localSheetId="6">[18]Параметры!$C$18</definedName>
    <definedName name="доллар">[19]Параметры!$C$18</definedName>
    <definedName name="дох" localSheetId="2">#REF!</definedName>
    <definedName name="дох" localSheetId="9">#REF!</definedName>
    <definedName name="дох" localSheetId="6">#REF!</definedName>
    <definedName name="дох">#REF!</definedName>
    <definedName name="дсша" localSheetId="2">#REF!</definedName>
    <definedName name="дсша" localSheetId="4">#REF!</definedName>
    <definedName name="дсша" localSheetId="9">#REF!</definedName>
    <definedName name="дсша" localSheetId="8">#REF!</definedName>
    <definedName name="дсша" localSheetId="6">#REF!</definedName>
    <definedName name="дсша" localSheetId="5">#REF!</definedName>
    <definedName name="дсша" localSheetId="7">#REF!</definedName>
    <definedName name="дсша">#REF!</definedName>
    <definedName name="дт" localSheetId="2">'[20]пост. пар.'!$C$13</definedName>
    <definedName name="дт" localSheetId="9">'[21]пост. пар.'!$C$13</definedName>
    <definedName name="дт" localSheetId="6">#REF!</definedName>
    <definedName name="дт">'[22]пост. пар.'!$C$13</definedName>
    <definedName name="евр">[14]Осн.показ!$D$13</definedName>
    <definedName name="евро" localSheetId="2">#REF!</definedName>
    <definedName name="евро" localSheetId="12">[23]Общ_Д!$B$16</definedName>
    <definedName name="евро">#REF!</definedName>
    <definedName name="ждд" localSheetId="2">#REF!</definedName>
    <definedName name="ждд" localSheetId="9">#REF!</definedName>
    <definedName name="ждд" localSheetId="6">#REF!</definedName>
    <definedName name="ждд">#REF!</definedName>
    <definedName name="_xlnm.Print_Titles" localSheetId="1">'2-ф2'!$A:$A</definedName>
    <definedName name="_xlnm.Print_Titles" localSheetId="2">'3-Баланс'!$A:$A</definedName>
    <definedName name="_xlnm.Print_Titles" localSheetId="10">Инв!$4:$4</definedName>
    <definedName name="_xlnm.Print_Titles" localSheetId="9">кр!$A:$B</definedName>
    <definedName name="_xlnm.Print_Titles" localSheetId="6">Производство!$3:$4</definedName>
    <definedName name="_xlnm.Print_Titles" localSheetId="7">ФОТ!$4:$4</definedName>
    <definedName name="Зап" localSheetId="2">#REF!</definedName>
    <definedName name="Зап">#REF!</definedName>
    <definedName name="Зап1" localSheetId="2">#REF!</definedName>
    <definedName name="Зап1">#REF!</definedName>
    <definedName name="имя" localSheetId="2">#REF!</definedName>
    <definedName name="имя">#REF!</definedName>
    <definedName name="Инвестор1" localSheetId="2">[2]Главн!$C$8</definedName>
    <definedName name="Инвестор1" localSheetId="9">[3]Главн!$C$8</definedName>
    <definedName name="Инвестор1" localSheetId="6">#REF!</definedName>
    <definedName name="Инвестор1">[1]Главн!$C$8</definedName>
    <definedName name="Инвестор2" localSheetId="2">[2]Главн!$C$9</definedName>
    <definedName name="Инвестор2" localSheetId="9">[3]Главн!$C$9</definedName>
    <definedName name="Инвестор2" localSheetId="6">#REF!</definedName>
    <definedName name="Инвестор2">[1]Главн!$C$9</definedName>
    <definedName name="Инвестор3" localSheetId="2">[2]Главн!$C$10</definedName>
    <definedName name="Инвестор3" localSheetId="9">[3]Главн!$C$10</definedName>
    <definedName name="Инвестор3" localSheetId="6">#REF!</definedName>
    <definedName name="Инвестор3">[1]Главн!$C$10</definedName>
    <definedName name="инициатор" localSheetId="2">[2]Главн!$C$7</definedName>
    <definedName name="инициатор" localSheetId="9">[3]Главн!$C$7</definedName>
    <definedName name="инициатор" localSheetId="6">#REF!</definedName>
    <definedName name="инициатор">[1]Главн!$C$7</definedName>
    <definedName name="Инт" localSheetId="2">#REF!</definedName>
    <definedName name="Инт" localSheetId="4">#REF!</definedName>
    <definedName name="Инт" localSheetId="8">#REF!</definedName>
    <definedName name="Инт" localSheetId="6">#REF!</definedName>
    <definedName name="Инт" localSheetId="5">#REF!</definedName>
    <definedName name="Инт" localSheetId="7">#REF!</definedName>
    <definedName name="Инт">#REF!</definedName>
    <definedName name="итого_в_долл" localSheetId="2">'[9]объекты обществаКокшетау'!#REF!</definedName>
    <definedName name="итого_в_долл" localSheetId="4">'[10]объекты обществаКокшетау'!#REF!</definedName>
    <definedName name="итого_в_долл" localSheetId="9">'[11]объекты обществаКокшетау'!#REF!</definedName>
    <definedName name="итого_в_долл" localSheetId="8">'[10]объекты обществаКокшетау'!#REF!</definedName>
    <definedName name="итого_в_долл" localSheetId="6">#REF!</definedName>
    <definedName name="итого_в_долл" localSheetId="5">'[10]объекты обществаКокшетау'!#REF!</definedName>
    <definedName name="итого_в_долл" localSheetId="7">'[10]объекты обществаКокшетау'!#REF!</definedName>
    <definedName name="итого_в_долл">'[10]объекты обществаКокшетау'!#REF!</definedName>
    <definedName name="июль" localSheetId="2">#REF!</definedName>
    <definedName name="июль" localSheetId="9">#REF!</definedName>
    <definedName name="июль" localSheetId="6">#REF!</definedName>
    <definedName name="июль">#REF!</definedName>
    <definedName name="Каламкас" localSheetId="2">'[24]объекты обществаКокшетау'!#REF!</definedName>
    <definedName name="Каламкас" localSheetId="4">'[24]объекты обществаКокшетау'!#REF!</definedName>
    <definedName name="Каламкас" localSheetId="8">'[24]объекты обществаКокшетау'!#REF!</definedName>
    <definedName name="Каламкас" localSheetId="6">'[24]объекты обществаКокшетау'!#REF!</definedName>
    <definedName name="Каламкас" localSheetId="5">'[24]объекты обществаКокшетау'!#REF!</definedName>
    <definedName name="Каламкас" localSheetId="7">'[24]объекты обществаКокшетау'!#REF!</definedName>
    <definedName name="Каламкас">'[24]объекты обществаКокшетау'!#REF!</definedName>
    <definedName name="кндс" localSheetId="2">#REF!</definedName>
    <definedName name="кндс" localSheetId="4">#REF!</definedName>
    <definedName name="кндс" localSheetId="9">[14]Осн.показ!$D$15</definedName>
    <definedName name="кндс" localSheetId="8">#REF!</definedName>
    <definedName name="кндс" localSheetId="6">#REF!</definedName>
    <definedName name="кндс" localSheetId="5">#REF!</definedName>
    <definedName name="кндс" localSheetId="7">ФОТ!#REF!</definedName>
    <definedName name="кндс">#REF!</definedName>
    <definedName name="кндс1" localSheetId="2">[25]Исх!$C$8</definedName>
    <definedName name="кндс1" localSheetId="11">[26]Исх!$C$8</definedName>
    <definedName name="кндс1" localSheetId="9">[15]Исх!$C$8</definedName>
    <definedName name="кндс1">[27]Исх!$C$8</definedName>
    <definedName name="Код" localSheetId="2">#REF!</definedName>
    <definedName name="Код">#REF!</definedName>
    <definedName name="компресс" localSheetId="2">#REF!</definedName>
    <definedName name="компресс" localSheetId="4">#REF!</definedName>
    <definedName name="компресс" localSheetId="8">#REF!</definedName>
    <definedName name="компресс" localSheetId="6">#REF!</definedName>
    <definedName name="компресс" localSheetId="5">#REF!</definedName>
    <definedName name="компресс" localSheetId="7">#REF!</definedName>
    <definedName name="компресс">#REF!</definedName>
    <definedName name="кре" localSheetId="2">#REF!</definedName>
    <definedName name="кре" localSheetId="9">#REF!</definedName>
    <definedName name="кре" localSheetId="6">#REF!</definedName>
    <definedName name="кре">#REF!</definedName>
    <definedName name="Кредит_перераб" localSheetId="2">[28]Общ_Д!#REF!</definedName>
    <definedName name="Кредит_перераб" localSheetId="4">[28]Общ_Д!#REF!</definedName>
    <definedName name="Кредит_перераб" localSheetId="8">[28]Общ_Д!#REF!</definedName>
    <definedName name="Кредит_перераб" localSheetId="6">[28]Общ_Д!#REF!</definedName>
    <definedName name="Кредит_перераб" localSheetId="5">[28]Общ_Д!#REF!</definedName>
    <definedName name="Кредит_перераб" localSheetId="7">[28]Общ_Д!#REF!</definedName>
    <definedName name="Кредит_перераб">[28]Общ_Д!#REF!</definedName>
    <definedName name="Кредит_произв" localSheetId="2">[28]Общ_Д!#REF!</definedName>
    <definedName name="Кредит_произв" localSheetId="4">[28]Общ_Д!#REF!</definedName>
    <definedName name="Кредит_произв" localSheetId="8">[28]Общ_Д!#REF!</definedName>
    <definedName name="Кредит_произв" localSheetId="6">[28]Общ_Д!#REF!</definedName>
    <definedName name="Кредит_произв" localSheetId="5">[28]Общ_Д!#REF!</definedName>
    <definedName name="Кредит_произв" localSheetId="7">[28]Общ_Д!#REF!</definedName>
    <definedName name="Кредит_произв">[28]Общ_Д!#REF!</definedName>
    <definedName name="Кредит_производство" localSheetId="2">[28]Общ_Д!#REF!</definedName>
    <definedName name="Кредит_производство" localSheetId="4">[28]Общ_Д!#REF!</definedName>
    <definedName name="Кредит_производство" localSheetId="8">[28]Общ_Д!#REF!</definedName>
    <definedName name="Кредит_производство" localSheetId="6">[28]Общ_Д!#REF!</definedName>
    <definedName name="Кредит_производство" localSheetId="5">[28]Общ_Д!#REF!</definedName>
    <definedName name="Кредит_производство" localSheetId="7">[28]Общ_Д!#REF!</definedName>
    <definedName name="Кредит_производство">[28]Общ_Д!#REF!</definedName>
    <definedName name="кросс_курс">'[29]Приобретение О.С.'!$F$3</definedName>
    <definedName name="кулагер" localSheetId="0">#REF!</definedName>
    <definedName name="кулагер" localSheetId="2">#REF!</definedName>
    <definedName name="кулагер">#REF!</definedName>
    <definedName name="кулагер2" localSheetId="0">#REF!</definedName>
    <definedName name="кулагер2" localSheetId="2">#REF!</definedName>
    <definedName name="кулагер2">#REF!</definedName>
    <definedName name="кулагер3" localSheetId="0">#REF!</definedName>
    <definedName name="кулагер3" localSheetId="2">#REF!</definedName>
    <definedName name="кулагер3">#REF!</definedName>
    <definedName name="кумыскаскыр" localSheetId="0">#REF!</definedName>
    <definedName name="кумыскаскыр" localSheetId="2">#REF!</definedName>
    <definedName name="кумыскаскыр">#REF!</definedName>
    <definedName name="кумыскаскыр2" localSheetId="0">#REF!</definedName>
    <definedName name="кумыскаскыр2" localSheetId="2">#REF!</definedName>
    <definedName name="кумыскаскыр2">#REF!</definedName>
    <definedName name="кумыскаскыр3" localSheetId="0">#REF!</definedName>
    <definedName name="кумыскаскыр3" localSheetId="2">#REF!</definedName>
    <definedName name="кумыскаскыр3">#REF!</definedName>
    <definedName name="Курс" localSheetId="0">'[29]Перем. затраты'!$P$45</definedName>
    <definedName name="курс" localSheetId="2">[30]Исх!$C$5</definedName>
    <definedName name="курс" localSheetId="11">'[31]Данные,рентаб'!$C$23</definedName>
    <definedName name="Курс" localSheetId="9">'[32]Перем. затраты'!$P$45</definedName>
    <definedName name="курс" localSheetId="6">[33]Исх!#REF!</definedName>
    <definedName name="курс">Исх!#REF!</definedName>
    <definedName name="курс_доллара_сегодня" localSheetId="2">[34]константы!$A$15</definedName>
    <definedName name="курс_доллара_сегодня" localSheetId="9">[35]константы!$A$15</definedName>
    <definedName name="курс_доллара_сегодня" localSheetId="6">[36]константы!$A$15</definedName>
    <definedName name="курс_доллара_сегодня">[37]константы!$A$15</definedName>
    <definedName name="курс_НБРК" localSheetId="2">'[9]объекты обществаКокшетау'!#REF!</definedName>
    <definedName name="курс_НБРК" localSheetId="4">'[10]объекты обществаКокшетау'!#REF!</definedName>
    <definedName name="курс_НБРК" localSheetId="9">'[11]объекты обществаКокшетау'!#REF!</definedName>
    <definedName name="курс_НБРК" localSheetId="8">'[10]объекты обществаКокшетау'!#REF!</definedName>
    <definedName name="курс_НБРК" localSheetId="6">#REF!</definedName>
    <definedName name="курс_НБРК" localSheetId="5">'[10]объекты обществаКокшетау'!#REF!</definedName>
    <definedName name="курс_НБРК" localSheetId="7">'[10]объекты обществаКокшетау'!#REF!</definedName>
    <definedName name="курс_НБРК">'[10]объекты обществаКокшетау'!#REF!</definedName>
    <definedName name="Курс1" localSheetId="2">#REF!</definedName>
    <definedName name="Курс1" localSheetId="4">#REF!</definedName>
    <definedName name="Курс1" localSheetId="9">#REF!</definedName>
    <definedName name="Курс1" localSheetId="8">#REF!</definedName>
    <definedName name="Курс1" localSheetId="6">#REF!</definedName>
    <definedName name="Курс1" localSheetId="5">#REF!</definedName>
    <definedName name="Курс1" localSheetId="7">#REF!</definedName>
    <definedName name="Курс1">#REF!</definedName>
    <definedName name="Курс10" localSheetId="2">[38]Финпоки1!#REF!</definedName>
    <definedName name="Курс10" localSheetId="4">[38]Финпоки1!#REF!</definedName>
    <definedName name="Курс10" localSheetId="8">[38]Финпоки1!#REF!</definedName>
    <definedName name="Курс10" localSheetId="6">[38]Финпоки1!#REF!</definedName>
    <definedName name="Курс10" localSheetId="5">[38]Финпоки1!#REF!</definedName>
    <definedName name="Курс10" localSheetId="7">[38]Финпоки1!#REF!</definedName>
    <definedName name="Курс10">[38]Финпоки1!#REF!</definedName>
    <definedName name="курсСША" localSheetId="2">#REF!</definedName>
    <definedName name="курсСША" localSheetId="9">#REF!</definedName>
    <definedName name="курсСША" localSheetId="6">#REF!</definedName>
    <definedName name="курсСША">#REF!</definedName>
    <definedName name="мес" localSheetId="2">[39]Осн.показ!$C$10</definedName>
    <definedName name="мес" localSheetId="9">[40]Осн.показ!$C$10</definedName>
    <definedName name="мес" localSheetId="6">[18]Осн.показ!$C$10</definedName>
    <definedName name="мес">[41]Осн.показ!$C$10</definedName>
    <definedName name="мес1" localSheetId="2">[39]Осн.показ!$C$11</definedName>
    <definedName name="мес1" localSheetId="9">[40]Осн.показ!$C$11</definedName>
    <definedName name="мес1" localSheetId="6">[18]Осн.показ!$C$11</definedName>
    <definedName name="мес1">[41]Осн.показ!$C$11</definedName>
    <definedName name="металлоформы" localSheetId="2">#REF!</definedName>
    <definedName name="металлоформы" localSheetId="4">#REF!</definedName>
    <definedName name="металлоформы" localSheetId="8">#REF!</definedName>
    <definedName name="металлоформы" localSheetId="6">#REF!</definedName>
    <definedName name="металлоформы" localSheetId="5">#REF!</definedName>
    <definedName name="металлоформы" localSheetId="7">#REF!</definedName>
    <definedName name="металлоформы">#REF!</definedName>
    <definedName name="МОВ" localSheetId="2">#REF!</definedName>
    <definedName name="МОВ">#REF!</definedName>
    <definedName name="Мощность" localSheetId="2">[42]Параметры!$C$2</definedName>
    <definedName name="Мощность" localSheetId="9">[43]Параметры!$C$2</definedName>
    <definedName name="Мощность" localSheetId="6">[18]Параметры!$C$2</definedName>
    <definedName name="Мощность">[44]Параметры!$C$2</definedName>
    <definedName name="МРП">'[29]Перем. затраты'!$P$46</definedName>
    <definedName name="Название" localSheetId="2">#REF!</definedName>
    <definedName name="Название">#REF!</definedName>
    <definedName name="Наименование">'[7]План пр-ва'!$A$6</definedName>
    <definedName name="ндс" localSheetId="2">[30]Исх!$C$8</definedName>
    <definedName name="ндс" localSheetId="11">[45]Исх!$C$9</definedName>
    <definedName name="НДС" localSheetId="9">'[32]Перем. затраты'!$P$47</definedName>
    <definedName name="ндс" localSheetId="6">[18]Исх!$C$7</definedName>
    <definedName name="НДС" localSheetId="7">ФОТ!#REF!</definedName>
    <definedName name="ндс">Исх!$C$17</definedName>
    <definedName name="НДС_2003" localSheetId="12">'[32]Перем. затраты'!$P$48</definedName>
    <definedName name="НДС_2003" localSheetId="9">'[32]Перем. затраты'!$P$48</definedName>
    <definedName name="НДС_2003">'[29]Перем. затраты'!$P$48</definedName>
    <definedName name="НДС1" localSheetId="2">[25]Исх!$C$7</definedName>
    <definedName name="НДС1" localSheetId="11">[26]Исх!$C$7</definedName>
    <definedName name="НДС1" localSheetId="9">[15]Исх!$C$7</definedName>
    <definedName name="НДС1">[27]Исх!$C$7</definedName>
    <definedName name="НДС2">'[29]Перем. затраты'!$P$47</definedName>
    <definedName name="недвижКонсал" localSheetId="0">#REF!</definedName>
    <definedName name="недвижКонсал" localSheetId="2">#REF!</definedName>
    <definedName name="недвижКонсал">#REF!</definedName>
    <definedName name="недвижКонсал2" localSheetId="0">#REF!</definedName>
    <definedName name="недвижКонсал2" localSheetId="2">#REF!</definedName>
    <definedName name="недвижКонсал2">#REF!</definedName>
    <definedName name="недвижКонсал3" localSheetId="0">#REF!</definedName>
    <definedName name="недвижКонсал3" localSheetId="2">#REF!</definedName>
    <definedName name="недвижКонсал3">#REF!</definedName>
    <definedName name="НПр" localSheetId="2">#REF!</definedName>
    <definedName name="НПр">#REF!</definedName>
    <definedName name="НПр1" localSheetId="2">#REF!</definedName>
    <definedName name="НПр1">#REF!</definedName>
    <definedName name="_xlnm.Print_Area" localSheetId="0">'1-Ф3'!$A$1:$AH$37</definedName>
    <definedName name="_xlnm.Print_Area" localSheetId="1">'2-ф2'!$A$1:$AH$32</definedName>
    <definedName name="_xlnm.Print_Area" localSheetId="2">'3-Баланс'!$A$1:$AH$26</definedName>
    <definedName name="_xlnm.Print_Area" localSheetId="12">'для текста'!$A$1:$B$10</definedName>
    <definedName name="_xlnm.Print_Area" localSheetId="10">Инв!$A$1:$Q$26</definedName>
    <definedName name="_xlnm.Print_Area" localSheetId="9">кр!$A$1:$CO$13</definedName>
    <definedName name="_xlnm.Print_Area" localSheetId="6">Производство!$A$1:$L$77</definedName>
    <definedName name="_xlnm.Print_Area" localSheetId="5">'Расх перем'!$A$1:$K$29</definedName>
    <definedName name="_xlnm.Print_Area" localSheetId="7">ФОТ!$A$1:$K$35</definedName>
    <definedName name="обм" localSheetId="2">'3-Баланс'!#REF!</definedName>
    <definedName name="обм" localSheetId="11">[46]ф2!#REF!</definedName>
    <definedName name="обм" localSheetId="4">'2-ф2'!#REF!</definedName>
    <definedName name="обм" localSheetId="9">[47]ф2!#REF!</definedName>
    <definedName name="обм" localSheetId="8">'2-ф2'!#REF!</definedName>
    <definedName name="обм" localSheetId="6">[18]ф2!#REF!</definedName>
    <definedName name="обм" localSheetId="5">'2-ф2'!#REF!</definedName>
    <definedName name="обм" localSheetId="7">'2-ф2'!#REF!</definedName>
    <definedName name="обм">'2-ф2'!#REF!</definedName>
    <definedName name="оборудование_ЖД" localSheetId="2">#REF!</definedName>
    <definedName name="оборудование_ЖД" localSheetId="4">#REF!</definedName>
    <definedName name="оборудование_ЖД" localSheetId="8">#REF!</definedName>
    <definedName name="оборудование_ЖД" localSheetId="6">#REF!</definedName>
    <definedName name="оборудование_ЖД" localSheetId="5">#REF!</definedName>
    <definedName name="оборудование_ЖД" localSheetId="7">#REF!</definedName>
    <definedName name="оборудование_ЖД">#REF!</definedName>
    <definedName name="общ" localSheetId="2">#REF!</definedName>
    <definedName name="общ" localSheetId="9">#REF!</definedName>
    <definedName name="общ" localSheetId="6">#REF!</definedName>
    <definedName name="общ">#REF!</definedName>
    <definedName name="объем">'[8]Осн. пара'!$C$6</definedName>
    <definedName name="объемгод">'[8]Осн. пара'!$C$7</definedName>
    <definedName name="ОС" localSheetId="2">[39]ОС!$D$27</definedName>
    <definedName name="ОС" localSheetId="9">[40]ОС!$D$27</definedName>
    <definedName name="ОС" localSheetId="6">[18]ОС!$D$27</definedName>
    <definedName name="ОС">[41]ОС!$D$27</definedName>
    <definedName name="отрасль">[6]Б1!$B$6</definedName>
    <definedName name="пер" localSheetId="2">#REF!</definedName>
    <definedName name="пер">#REF!</definedName>
    <definedName name="ПерЗ1" localSheetId="2">#REF!</definedName>
    <definedName name="ПерЗ1">#REF!</definedName>
    <definedName name="План_производства" localSheetId="2">#REF!</definedName>
    <definedName name="План_производства">#REF!</definedName>
    <definedName name="ПМ">'[29]Перем. затраты'!$K$3</definedName>
    <definedName name="подстанция" localSheetId="2">#REF!</definedName>
    <definedName name="подстанция" localSheetId="4">#REF!</definedName>
    <definedName name="подстанция" localSheetId="8">#REF!</definedName>
    <definedName name="подстанция" localSheetId="6">#REF!</definedName>
    <definedName name="подстанция" localSheetId="5">#REF!</definedName>
    <definedName name="подстанция" localSheetId="7">#REF!</definedName>
    <definedName name="подстанция">#REF!</definedName>
    <definedName name="Показатели" localSheetId="2">[2]Главн!$C$2</definedName>
    <definedName name="Показатели" localSheetId="9">[3]Главн!$C$2</definedName>
    <definedName name="Показатели" localSheetId="6">#REF!</definedName>
    <definedName name="Показатели">[1]Главн!$C$2</definedName>
    <definedName name="пос" localSheetId="2">#REF!</definedName>
    <definedName name="пос">#REF!</definedName>
    <definedName name="ПОсД1" localSheetId="2">#REF!</definedName>
    <definedName name="ПОсД1">#REF!</definedName>
    <definedName name="пост" localSheetId="2">#REF!</definedName>
    <definedName name="пост">#REF!</definedName>
    <definedName name="ПостЗ1" localSheetId="2">#REF!</definedName>
    <definedName name="ПостЗ1">#REF!</definedName>
    <definedName name="приозернвй" localSheetId="0">#REF!</definedName>
    <definedName name="приозернвй" localSheetId="2">#REF!</definedName>
    <definedName name="приозернвй">#REF!</definedName>
    <definedName name="приозерный2" localSheetId="0">#REF!</definedName>
    <definedName name="приозерный2" localSheetId="2">#REF!</definedName>
    <definedName name="приозерный2">#REF!</definedName>
    <definedName name="приозерный3" localSheetId="0">#REF!</definedName>
    <definedName name="приозерный3" localSheetId="2">#REF!</definedName>
    <definedName name="приозерный3">#REF!</definedName>
    <definedName name="Проч" localSheetId="2">#REF!</definedName>
    <definedName name="Проч">#REF!</definedName>
    <definedName name="Проч1" localSheetId="2">#REF!</definedName>
    <definedName name="Проч1">#REF!</definedName>
    <definedName name="раб" localSheetId="2">'[48]Осн. пара'!$C$9</definedName>
    <definedName name="раб" localSheetId="9">'[49]Осн. пара'!$C$9</definedName>
    <definedName name="раб" localSheetId="6">#REF!</definedName>
    <definedName name="раб">'[50]Осн. пара'!$C$9</definedName>
    <definedName name="рас" localSheetId="2">[39]Осн.показ!$C$12</definedName>
    <definedName name="рас" localSheetId="9">[40]Осн.показ!$C$12</definedName>
    <definedName name="рас" localSheetId="6">[18]Осн.показ!$C$12</definedName>
    <definedName name="рас">[41]Осн.показ!$C$12</definedName>
    <definedName name="рбу" localSheetId="2">#REF!</definedName>
    <definedName name="рбу" localSheetId="4">#REF!</definedName>
    <definedName name="рбу" localSheetId="8">#REF!</definedName>
    <definedName name="рбу" localSheetId="6">#REF!</definedName>
    <definedName name="рбу" localSheetId="5">#REF!</definedName>
    <definedName name="рбу" localSheetId="7">#REF!</definedName>
    <definedName name="рбу">#REF!</definedName>
    <definedName name="рос" localSheetId="2">'[20]пост. пар.'!$C$8</definedName>
    <definedName name="рос" localSheetId="9">'[21]пост. пар.'!$C$8</definedName>
    <definedName name="рос" localSheetId="6">#REF!</definedName>
    <definedName name="рос">'[22]пост. пар.'!$C$8</definedName>
    <definedName name="руб" localSheetId="2">#REF!</definedName>
    <definedName name="руб" localSheetId="4">#REF!</definedName>
    <definedName name="руб" localSheetId="8">#REF!</definedName>
    <definedName name="руб" localSheetId="6">#REF!</definedName>
    <definedName name="руб" localSheetId="5">#REF!</definedName>
    <definedName name="руб" localSheetId="7">ФОТ!#REF!</definedName>
    <definedName name="руб">#REF!</definedName>
    <definedName name="себ" localSheetId="2">'3-Баланс'!#REF!</definedName>
    <definedName name="себ" localSheetId="11">[46]ф2!#REF!</definedName>
    <definedName name="себ" localSheetId="4">'2-ф2'!#REF!</definedName>
    <definedName name="себ" localSheetId="9">[47]ф2!#REF!</definedName>
    <definedName name="себ" localSheetId="8">'2-ф2'!#REF!</definedName>
    <definedName name="себ" localSheetId="6">[18]ф2!#REF!</definedName>
    <definedName name="себ" localSheetId="5">'2-ф2'!#REF!</definedName>
    <definedName name="себ" localSheetId="7">'2-ф2'!#REF!</definedName>
    <definedName name="себ">'2-ф2'!#REF!</definedName>
    <definedName name="ситиПалас" localSheetId="0">#REF!</definedName>
    <definedName name="ситиПалас" localSheetId="2">#REF!</definedName>
    <definedName name="ситиПалас">#REF!</definedName>
    <definedName name="ситиПалас2" localSheetId="0">#REF!</definedName>
    <definedName name="ситиПалас2" localSheetId="2">#REF!</definedName>
    <definedName name="ситиПалас2">#REF!</definedName>
    <definedName name="ситиПалас3" localSheetId="0">#REF!</definedName>
    <definedName name="ситиПалас3" localSheetId="2">#REF!</definedName>
    <definedName name="ситиПалас3">#REF!</definedName>
    <definedName name="склад_продукции" localSheetId="2">#REF!</definedName>
    <definedName name="склад_продукции" localSheetId="4">#REF!</definedName>
    <definedName name="склад_продукции" localSheetId="8">#REF!</definedName>
    <definedName name="склад_продукции" localSheetId="6">#REF!</definedName>
    <definedName name="склад_продукции" localSheetId="5">#REF!</definedName>
    <definedName name="склад_продукции" localSheetId="7">#REF!</definedName>
    <definedName name="склад_продукции">#REF!</definedName>
    <definedName name="склад_цем" localSheetId="2">#REF!</definedName>
    <definedName name="склад_цем" localSheetId="4">#REF!</definedName>
    <definedName name="склад_цем" localSheetId="8">#REF!</definedName>
    <definedName name="склад_цем" localSheetId="6">#REF!</definedName>
    <definedName name="склад_цем" localSheetId="5">#REF!</definedName>
    <definedName name="склад_цем" localSheetId="7">#REF!</definedName>
    <definedName name="склад_цем">#REF!</definedName>
    <definedName name="соц1" localSheetId="2">[2]Главн!$D$48</definedName>
    <definedName name="соц1" localSheetId="9">[3]Главн!$D$48</definedName>
    <definedName name="соц1" localSheetId="6">#REF!</definedName>
    <definedName name="соц1">[1]Главн!$D$48</definedName>
    <definedName name="соц2" localSheetId="2">[2]Главн!$E$48</definedName>
    <definedName name="соц2" localSheetId="9">[3]Главн!$E$48</definedName>
    <definedName name="соц2" localSheetId="6">#REF!</definedName>
    <definedName name="соц2">[1]Главн!$E$48</definedName>
    <definedName name="соц3" localSheetId="2">[2]Главн!$F$48</definedName>
    <definedName name="соц3" localSheetId="9">[3]Главн!$F$48</definedName>
    <definedName name="соц3" localSheetId="6">#REF!</definedName>
    <definedName name="соц3">[1]Главн!$F$48</definedName>
    <definedName name="соц4" localSheetId="2">[2]Главн!$G$48</definedName>
    <definedName name="соц4" localSheetId="9">[3]Главн!$G$48</definedName>
    <definedName name="соц4" localSheetId="6">#REF!</definedName>
    <definedName name="соц4">[1]Главн!$G$48</definedName>
    <definedName name="соц5" localSheetId="2">[2]Главн!$H$48</definedName>
    <definedName name="соц5" localSheetId="9">[3]Главн!$H$48</definedName>
    <definedName name="соц5" localSheetId="6">#REF!</definedName>
    <definedName name="соц5">[1]Главн!$H$48</definedName>
    <definedName name="спецодежда" localSheetId="2">#REF!</definedName>
    <definedName name="спецодежда" localSheetId="4">#REF!</definedName>
    <definedName name="спецодежда" localSheetId="8">#REF!</definedName>
    <definedName name="спецодежда" localSheetId="6">#REF!</definedName>
    <definedName name="спецодежда" localSheetId="5">#REF!</definedName>
    <definedName name="спецодежда" localSheetId="7">#REF!</definedName>
    <definedName name="спецодежда">#REF!</definedName>
    <definedName name="Срок_инвестиций1" localSheetId="2">[2]Invest!$I$7:$I$240</definedName>
    <definedName name="Срок_инвестиций1" localSheetId="9">[3]Invest!$I$7:$I$240</definedName>
    <definedName name="Срок_инвестиций1" localSheetId="6">#REF!</definedName>
    <definedName name="Срок_инвестиций1">[1]Invest!$I$7:$I$240</definedName>
    <definedName name="Срок_инвестиций2" localSheetId="2">[2]Invest!$M$7:$M$240</definedName>
    <definedName name="Срок_инвестиций2" localSheetId="9">[3]Invest!$M$7:$M$240</definedName>
    <definedName name="Срок_инвестиций2" localSheetId="6">#REF!</definedName>
    <definedName name="Срок_инвестиций2">[1]Invest!$M$7:$M$240</definedName>
    <definedName name="Срок_инвестиций3" localSheetId="2">[2]Invest!$Q$7:$Q$240</definedName>
    <definedName name="Срок_инвестиций3" localSheetId="9">[3]Invest!$Q$7:$Q$240</definedName>
    <definedName name="Срок_инвестиций3" localSheetId="6">#REF!</definedName>
    <definedName name="Срок_инвестиций3">[1]Invest!$Q$7:$Q$240</definedName>
    <definedName name="Срок_инвестиций4" localSheetId="2">[2]Invest!$U$7:$U$240</definedName>
    <definedName name="Срок_инвестиций4" localSheetId="9">[3]Invest!$U$7:$U$240</definedName>
    <definedName name="Срок_инвестиций4" localSheetId="6">#REF!</definedName>
    <definedName name="Срок_инвестиций4">[1]Invest!$U$7:$U$240</definedName>
    <definedName name="СрокПроекта" localSheetId="2">#REF!</definedName>
    <definedName name="СрокПроекта">#REF!</definedName>
    <definedName name="ст" localSheetId="2">[51]Норм!$F$9</definedName>
    <definedName name="ст" localSheetId="9">[52]Норм!$F$9</definedName>
    <definedName name="ст" localSheetId="6">#REF!</definedName>
    <definedName name="ст">[53]Норм!$F$9</definedName>
    <definedName name="СтавкаПроцента1">'[23]L-1'!$B$6</definedName>
    <definedName name="стоимость_в_долларах" localSheetId="2">'[9]объекты обществаКокшетау'!#REF!</definedName>
    <definedName name="стоимость_в_долларах" localSheetId="4">'[10]объекты обществаКокшетау'!#REF!</definedName>
    <definedName name="стоимость_в_долларах" localSheetId="9">'[11]объекты обществаКокшетау'!#REF!</definedName>
    <definedName name="стоимость_в_долларах" localSheetId="8">'[10]объекты обществаКокшетау'!#REF!</definedName>
    <definedName name="стоимость_в_долларах" localSheetId="6">#REF!</definedName>
    <definedName name="стоимость_в_долларах" localSheetId="5">'[10]объекты обществаКокшетау'!#REF!</definedName>
    <definedName name="стоимость_в_долларах" localSheetId="7">'[10]объекты обществаКокшетау'!#REF!</definedName>
    <definedName name="стоимость_в_долларах">'[10]объекты обществаКокшетау'!#REF!</definedName>
    <definedName name="Сумма_инвест1" localSheetId="2">[2]Invest!$H$7:$H$240</definedName>
    <definedName name="Сумма_инвест1" localSheetId="9">[3]Invest!$H$7:$H$240</definedName>
    <definedName name="Сумма_инвест1" localSheetId="6">#REF!</definedName>
    <definedName name="Сумма_инвест1">[1]Invest!$H$7:$H$240</definedName>
    <definedName name="Сумма_инвест2" localSheetId="2">[2]Invest!$L$7:$L$240</definedName>
    <definedName name="Сумма_инвест2" localSheetId="9">[3]Invest!$L$7:$L$240</definedName>
    <definedName name="Сумма_инвест2" localSheetId="6">#REF!</definedName>
    <definedName name="Сумма_инвест2">[1]Invest!$L$7:$L$240</definedName>
    <definedName name="Сумма_инвест3" localSheetId="2">[2]Invest!$P$7:$P$240</definedName>
    <definedName name="Сумма_инвест3" localSheetId="9">[3]Invest!$P$7:$P$240</definedName>
    <definedName name="Сумма_инвест3" localSheetId="6">#REF!</definedName>
    <definedName name="Сумма_инвест3">[1]Invest!$P$7:$P$240</definedName>
    <definedName name="Сумма_инвест4" localSheetId="2">[2]Invest!$T$7:$T$240</definedName>
    <definedName name="Сумма_инвест4" localSheetId="9">[3]Invest!$T$7:$T$240</definedName>
    <definedName name="Сумма_инвест4" localSheetId="6">#REF!</definedName>
    <definedName name="Сумма_инвест4">[1]Invest!$T$7:$T$240</definedName>
    <definedName name="СуммаКредита1">'[23]L-1'!$B$5</definedName>
    <definedName name="СчОпл" localSheetId="2">#REF!</definedName>
    <definedName name="СчОпл">#REF!</definedName>
    <definedName name="СчОпл1" localSheetId="2">#REF!</definedName>
    <definedName name="СчОпл1">#REF!</definedName>
    <definedName name="Сырье" localSheetId="2">#REF!</definedName>
    <definedName name="Сырье">#REF!</definedName>
    <definedName name="ТА1" localSheetId="2">#REF!</definedName>
    <definedName name="ТА1">#REF!</definedName>
    <definedName name="таблица_цен" localSheetId="2">[34]константы!$F$2:$G$30</definedName>
    <definedName name="таблица_цен" localSheetId="9">[35]константы!$F$2:$G$30</definedName>
    <definedName name="таблица_цен" localSheetId="6">[36]константы!$F$2:$G$30</definedName>
    <definedName name="таблица_цен">[37]константы!$F$2:$G$30</definedName>
    <definedName name="тг" localSheetId="2">#REF!</definedName>
    <definedName name="тг" localSheetId="4">#REF!</definedName>
    <definedName name="тг" localSheetId="8">#REF!</definedName>
    <definedName name="тг" localSheetId="6">#REF!</definedName>
    <definedName name="тг" localSheetId="5">#REF!</definedName>
    <definedName name="тг" localSheetId="7">ФОТ!#REF!</definedName>
    <definedName name="тг">#REF!</definedName>
    <definedName name="Тов" localSheetId="2">#REF!</definedName>
    <definedName name="Тов">#REF!</definedName>
    <definedName name="Тов1" localSheetId="2">#REF!</definedName>
    <definedName name="Тов1">#REF!</definedName>
    <definedName name="ТовРеал1" localSheetId="2">#REF!</definedName>
    <definedName name="ТовРеал1" localSheetId="4">#REF!</definedName>
    <definedName name="ТовРеал1" localSheetId="8">#REF!</definedName>
    <definedName name="ТовРеал1" localSheetId="6">#REF!</definedName>
    <definedName name="ТовРеал1" localSheetId="5">#REF!</definedName>
    <definedName name="ТовРеал1" localSheetId="7">#REF!</definedName>
    <definedName name="ТовРеал1">#REF!</definedName>
    <definedName name="убн96">'[13]Нетто3!!!'!$A$2</definedName>
    <definedName name="УК1" localSheetId="2">#REF!</definedName>
    <definedName name="УК1">#REF!</definedName>
    <definedName name="цен">[14]Осн.показ!$D$5</definedName>
    <definedName name="цен1" localSheetId="2">[39]Осн.показ!$C$6</definedName>
    <definedName name="цен1" localSheetId="9">[40]Осн.показ!$C$6</definedName>
    <definedName name="цен1" localSheetId="6">[18]Осн.показ!$C$6</definedName>
    <definedName name="цен1">[41]Осн.показ!$C$6</definedName>
    <definedName name="цена">'[8]Осн. пара'!$C$2</definedName>
    <definedName name="Цена_бобов" localSheetId="2">[28]Дох!#REF!</definedName>
    <definedName name="Цена_бобов" localSheetId="4">[28]Дох!#REF!</definedName>
    <definedName name="Цена_бобов" localSheetId="8">[28]Дох!#REF!</definedName>
    <definedName name="Цена_бобов" localSheetId="6">[28]Дох!#REF!</definedName>
    <definedName name="Цена_бобов" localSheetId="5">[28]Дох!#REF!</definedName>
    <definedName name="Цена_бобов" localSheetId="7">[28]Дох!#REF!</definedName>
    <definedName name="Цена_бобов">[28]Дох!#REF!</definedName>
    <definedName name="Цена_реал" localSheetId="2">#REF!</definedName>
    <definedName name="Цена_реал">#REF!</definedName>
    <definedName name="цена1">'[8]Осн. пара'!$C$13</definedName>
    <definedName name="цех_пби" localSheetId="2">#REF!</definedName>
    <definedName name="цех_пби" localSheetId="4">#REF!</definedName>
    <definedName name="цех_пби" localSheetId="8">#REF!</definedName>
    <definedName name="цех_пби" localSheetId="6">#REF!</definedName>
    <definedName name="цех_пби" localSheetId="5">#REF!</definedName>
    <definedName name="цех_пби" localSheetId="7">#REF!</definedName>
    <definedName name="цех_пби">#REF!</definedName>
    <definedName name="цр" localSheetId="2">#REF!</definedName>
    <definedName name="цр">#REF!</definedName>
  </definedNames>
  <calcPr calcId="125725"/>
</workbook>
</file>

<file path=xl/calcChain.xml><?xml version="1.0" encoding="utf-8"?>
<calcChain xmlns="http://schemas.openxmlformats.org/spreadsheetml/2006/main">
  <c r="AT37" i="28"/>
  <c r="AT38"/>
  <c r="C10" i="63"/>
  <c r="D10"/>
  <c r="D17" s="1"/>
  <c r="D9"/>
  <c r="D16" s="1"/>
  <c r="D8"/>
  <c r="D7"/>
  <c r="D14" s="1"/>
  <c r="D6"/>
  <c r="D13" s="1"/>
  <c r="D15"/>
  <c r="C14" i="53"/>
  <c r="C22" i="66"/>
  <c r="C17" i="53"/>
  <c r="C37"/>
  <c r="C16"/>
  <c r="C19"/>
  <c r="C38" i="33"/>
  <c r="D38"/>
  <c r="E38"/>
  <c r="F38"/>
  <c r="G38"/>
  <c r="H38"/>
  <c r="B38"/>
  <c r="C10" i="66"/>
  <c r="O11" i="28"/>
  <c r="N11"/>
  <c r="M11"/>
  <c r="L11"/>
  <c r="K11"/>
  <c r="J11"/>
  <c r="I11"/>
  <c r="H11"/>
  <c r="G11"/>
  <c r="F11"/>
  <c r="E11"/>
  <c r="D11"/>
  <c r="A11"/>
  <c r="P7" i="8"/>
  <c r="D6" i="62"/>
  <c r="R7" i="8" s="1"/>
  <c r="R11" i="28" s="1"/>
  <c r="E6" i="62"/>
  <c r="AD7" i="8" s="1"/>
  <c r="AD11" i="28" s="1"/>
  <c r="F6" i="62"/>
  <c r="AE7" i="8" s="1"/>
  <c r="AE11" i="28" s="1"/>
  <c r="G6" i="62"/>
  <c r="AF7" i="8" s="1"/>
  <c r="AF11" i="28" s="1"/>
  <c r="H6" i="62"/>
  <c r="AG7" i="8" s="1"/>
  <c r="AG11" i="28" s="1"/>
  <c r="I6" i="62"/>
  <c r="AH7" i="8" s="1"/>
  <c r="AH11" i="28" s="1"/>
  <c r="C6" i="62"/>
  <c r="F79" i="69"/>
  <c r="G79"/>
  <c r="H79"/>
  <c r="I79"/>
  <c r="J79"/>
  <c r="K79"/>
  <c r="L79"/>
  <c r="E79"/>
  <c r="A55"/>
  <c r="A47"/>
  <c r="A39"/>
  <c r="A31"/>
  <c r="A23"/>
  <c r="A15"/>
  <c r="F78"/>
  <c r="G78"/>
  <c r="H78"/>
  <c r="I78"/>
  <c r="J78"/>
  <c r="K78"/>
  <c r="L78"/>
  <c r="E78"/>
  <c r="L81"/>
  <c r="K81"/>
  <c r="J81"/>
  <c r="I81"/>
  <c r="H81"/>
  <c r="G81"/>
  <c r="F81"/>
  <c r="E81"/>
  <c r="G70"/>
  <c r="C9" i="63"/>
  <c r="C8"/>
  <c r="C6"/>
  <c r="C14" i="59"/>
  <c r="E14" i="65"/>
  <c r="C10" i="59"/>
  <c r="B37" i="33"/>
  <c r="B36"/>
  <c r="D7" i="66"/>
  <c r="E7" s="1"/>
  <c r="F7" s="1"/>
  <c r="G7" s="1"/>
  <c r="H7" s="1"/>
  <c r="I7" s="1"/>
  <c r="C6" i="59"/>
  <c r="B88" i="69"/>
  <c r="C15" i="63"/>
  <c r="C16"/>
  <c r="C17"/>
  <c r="C13"/>
  <c r="C7"/>
  <c r="C14" s="1"/>
  <c r="P11" i="28" l="1"/>
  <c r="Q7" i="8"/>
  <c r="AA7"/>
  <c r="AA11" i="28" s="1"/>
  <c r="Y7" i="8"/>
  <c r="Y11" i="28" s="1"/>
  <c r="W7" i="8"/>
  <c r="W11" i="28" s="1"/>
  <c r="U7" i="8"/>
  <c r="U11" i="28" s="1"/>
  <c r="S7" i="8"/>
  <c r="S11" i="28" s="1"/>
  <c r="AB7" i="8"/>
  <c r="AB11" i="28" s="1"/>
  <c r="Z7" i="8"/>
  <c r="Z11" i="28" s="1"/>
  <c r="X7" i="8"/>
  <c r="X11" i="28" s="1"/>
  <c r="V7" i="8"/>
  <c r="V11" i="28" s="1"/>
  <c r="T7" i="8"/>
  <c r="T11" i="28" s="1"/>
  <c r="B16" i="62"/>
  <c r="B14"/>
  <c r="B18" s="1"/>
  <c r="E73" i="69"/>
  <c r="AC7" i="8" l="1"/>
  <c r="B7" s="1"/>
  <c r="Q11" i="28"/>
  <c r="AC11" s="1"/>
  <c r="B11" s="1"/>
  <c r="E7" i="62"/>
  <c r="AD8" i="8" s="1"/>
  <c r="F7" i="62"/>
  <c r="AE8" i="8" s="1"/>
  <c r="H7" i="62"/>
  <c r="AG8" i="8" s="1"/>
  <c r="D7" i="62"/>
  <c r="G7"/>
  <c r="AF8" i="8" s="1"/>
  <c r="I7" i="62"/>
  <c r="AH8" i="8" s="1"/>
  <c r="C7" i="62"/>
  <c r="K8" i="8" l="1"/>
  <c r="H8"/>
  <c r="J8"/>
  <c r="L8"/>
  <c r="N8"/>
  <c r="G8"/>
  <c r="I8"/>
  <c r="M8"/>
  <c r="O8"/>
  <c r="S8"/>
  <c r="U8"/>
  <c r="W8"/>
  <c r="Y8"/>
  <c r="AA8"/>
  <c r="Q8"/>
  <c r="R8"/>
  <c r="T8"/>
  <c r="V8"/>
  <c r="X8"/>
  <c r="Z8"/>
  <c r="AB8"/>
  <c r="E15" i="28" l="1"/>
  <c r="F15"/>
  <c r="D15"/>
  <c r="A15"/>
  <c r="C24" i="63"/>
  <c r="B22"/>
  <c r="E22"/>
  <c r="C23"/>
  <c r="J37" i="53"/>
  <c r="E14" i="28"/>
  <c r="D14"/>
  <c r="I15" i="59"/>
  <c r="E15"/>
  <c r="F15"/>
  <c r="H15"/>
  <c r="J15"/>
  <c r="K15"/>
  <c r="L15"/>
  <c r="M15"/>
  <c r="N15"/>
  <c r="O15"/>
  <c r="P15"/>
  <c r="B17"/>
  <c r="D17" s="1"/>
  <c r="G17" s="1"/>
  <c r="Q17" s="1"/>
  <c r="B16"/>
  <c r="D16" s="1"/>
  <c r="Q18"/>
  <c r="D18"/>
  <c r="C13"/>
  <c r="D13" s="1"/>
  <c r="C9"/>
  <c r="D9" s="1"/>
  <c r="G9" s="1"/>
  <c r="E15" i="65"/>
  <c r="F4" i="63"/>
  <c r="C23" i="53"/>
  <c r="E70" i="69"/>
  <c r="E69"/>
  <c r="E62"/>
  <c r="D74"/>
  <c r="D75" s="1"/>
  <c r="C74"/>
  <c r="D10"/>
  <c r="D18" s="1"/>
  <c r="D26" s="1"/>
  <c r="D34" s="1"/>
  <c r="D42" s="1"/>
  <c r="D50" s="1"/>
  <c r="D58" s="1"/>
  <c r="D9"/>
  <c r="D6"/>
  <c r="E5"/>
  <c r="C26" i="53"/>
  <c r="D11" i="69" s="1"/>
  <c r="D19" s="1"/>
  <c r="D27" s="1"/>
  <c r="D35" s="1"/>
  <c r="D43" s="1"/>
  <c r="D51" s="1"/>
  <c r="D59" s="1"/>
  <c r="F3"/>
  <c r="Q74"/>
  <c r="O74"/>
  <c r="L70"/>
  <c r="K70"/>
  <c r="J70"/>
  <c r="I70"/>
  <c r="H70"/>
  <c r="F70"/>
  <c r="F69"/>
  <c r="E56"/>
  <c r="E48"/>
  <c r="E40"/>
  <c r="E32"/>
  <c r="A27"/>
  <c r="A35" s="1"/>
  <c r="A43" s="1"/>
  <c r="A51" s="1"/>
  <c r="A59" s="1"/>
  <c r="A26"/>
  <c r="A34" s="1"/>
  <c r="A42" s="1"/>
  <c r="A50" s="1"/>
  <c r="A58" s="1"/>
  <c r="A25"/>
  <c r="A33" s="1"/>
  <c r="A41" s="1"/>
  <c r="A49" s="1"/>
  <c r="A57" s="1"/>
  <c r="E24"/>
  <c r="F24" s="1"/>
  <c r="G24" s="1"/>
  <c r="A24"/>
  <c r="A32" s="1"/>
  <c r="A40" s="1"/>
  <c r="A48" s="1"/>
  <c r="A56" s="1"/>
  <c r="A22"/>
  <c r="A30" s="1"/>
  <c r="A38" s="1"/>
  <c r="A46" s="1"/>
  <c r="A54" s="1"/>
  <c r="A21"/>
  <c r="A29" s="1"/>
  <c r="A37" s="1"/>
  <c r="A45" s="1"/>
  <c r="A53" s="1"/>
  <c r="E16"/>
  <c r="C7" i="53"/>
  <c r="E16" i="65"/>
  <c r="A14" i="28"/>
  <c r="J10"/>
  <c r="K10"/>
  <c r="I10"/>
  <c r="G10"/>
  <c r="F10"/>
  <c r="E10"/>
  <c r="D10"/>
  <c r="D5" i="8"/>
  <c r="E13" i="65"/>
  <c r="E12"/>
  <c r="E20"/>
  <c r="E24"/>
  <c r="E7"/>
  <c r="B14" i="33"/>
  <c r="I31" i="28"/>
  <c r="H7" i="64" s="1"/>
  <c r="E25" i="65"/>
  <c r="D10" i="59"/>
  <c r="F10" s="1"/>
  <c r="E19" i="65"/>
  <c r="D10" i="66"/>
  <c r="E10" s="1"/>
  <c r="F10" s="1"/>
  <c r="G10" s="1"/>
  <c r="H10" s="1"/>
  <c r="I10" s="1"/>
  <c r="D29"/>
  <c r="E29"/>
  <c r="F29"/>
  <c r="G29"/>
  <c r="H29"/>
  <c r="I29"/>
  <c r="C29"/>
  <c r="G5" i="59"/>
  <c r="K5"/>
  <c r="J30" i="28" s="1"/>
  <c r="L5" i="59"/>
  <c r="K30" i="28" s="1"/>
  <c r="M5" i="59"/>
  <c r="L30" i="28" s="1"/>
  <c r="N5" i="59"/>
  <c r="O5"/>
  <c r="P5"/>
  <c r="O30" i="28" s="1"/>
  <c r="D14" i="59"/>
  <c r="G14" s="1"/>
  <c r="Q14" s="1"/>
  <c r="P12"/>
  <c r="O12"/>
  <c r="N12"/>
  <c r="M12"/>
  <c r="L12"/>
  <c r="K12"/>
  <c r="F12"/>
  <c r="E12"/>
  <c r="AE5" i="28"/>
  <c r="AF5" s="1"/>
  <c r="AG5" s="1"/>
  <c r="AH5" s="1"/>
  <c r="AD3" i="67"/>
  <c r="AE3" s="1"/>
  <c r="AF3" s="1"/>
  <c r="AG3" s="1"/>
  <c r="AH3" s="1"/>
  <c r="B17" i="33"/>
  <c r="B16"/>
  <c r="B13"/>
  <c r="D13" i="67"/>
  <c r="E13" s="1"/>
  <c r="F13" s="1"/>
  <c r="G13" s="1"/>
  <c r="H13" s="1"/>
  <c r="I13" s="1"/>
  <c r="J13" s="1"/>
  <c r="K13" s="1"/>
  <c r="L13" s="1"/>
  <c r="M13" s="1"/>
  <c r="N13" s="1"/>
  <c r="O13" s="1"/>
  <c r="P13" s="1"/>
  <c r="Q13" s="1"/>
  <c r="R13" s="1"/>
  <c r="S13" s="1"/>
  <c r="T13" s="1"/>
  <c r="U13" s="1"/>
  <c r="V13" s="1"/>
  <c r="W13" s="1"/>
  <c r="X13" s="1"/>
  <c r="Y13" s="1"/>
  <c r="Z13" s="1"/>
  <c r="AA13" s="1"/>
  <c r="AB13" s="1"/>
  <c r="AC13" s="1"/>
  <c r="AD13" s="1"/>
  <c r="AE13" s="1"/>
  <c r="AF13" s="1"/>
  <c r="AG13" s="1"/>
  <c r="AH13" s="1"/>
  <c r="B13" i="64"/>
  <c r="K8" i="59"/>
  <c r="L8"/>
  <c r="L19" s="1"/>
  <c r="K29" i="8" s="1"/>
  <c r="M8" i="59"/>
  <c r="N8"/>
  <c r="O8"/>
  <c r="P8"/>
  <c r="D11"/>
  <c r="F11" s="1"/>
  <c r="D7"/>
  <c r="E7" s="1"/>
  <c r="I4" i="66"/>
  <c r="AE3" i="8"/>
  <c r="AF3" s="1"/>
  <c r="Q40" i="67"/>
  <c r="R40"/>
  <c r="S40"/>
  <c r="T40"/>
  <c r="U40"/>
  <c r="V40"/>
  <c r="W40"/>
  <c r="X40"/>
  <c r="Y40"/>
  <c r="Z40"/>
  <c r="AA40"/>
  <c r="AB40"/>
  <c r="B21" i="66"/>
  <c r="C35" i="65"/>
  <c r="C32"/>
  <c r="C33"/>
  <c r="C34"/>
  <c r="C31"/>
  <c r="K2"/>
  <c r="C2" i="67"/>
  <c r="B2" i="8"/>
  <c r="B4" i="28"/>
  <c r="AB34" i="67"/>
  <c r="AA34"/>
  <c r="Z34"/>
  <c r="Y34"/>
  <c r="X34"/>
  <c r="W34"/>
  <c r="V34"/>
  <c r="U34"/>
  <c r="T34"/>
  <c r="S34"/>
  <c r="R34"/>
  <c r="Q34"/>
  <c r="D23"/>
  <c r="E23"/>
  <c r="F23" s="1"/>
  <c r="G23" s="1"/>
  <c r="H23" s="1"/>
  <c r="I23" s="1"/>
  <c r="J23" s="1"/>
  <c r="K23" s="1"/>
  <c r="L23" s="1"/>
  <c r="M23" s="1"/>
  <c r="N23" s="1"/>
  <c r="O23" s="1"/>
  <c r="P23" s="1"/>
  <c r="Q23" s="1"/>
  <c r="R23" s="1"/>
  <c r="S23" s="1"/>
  <c r="T23" s="1"/>
  <c r="U23" s="1"/>
  <c r="V23" s="1"/>
  <c r="W23" s="1"/>
  <c r="X23" s="1"/>
  <c r="Y23" s="1"/>
  <c r="Z23" s="1"/>
  <c r="AA23" s="1"/>
  <c r="AB23" s="1"/>
  <c r="AC23" s="1"/>
  <c r="AD23" s="1"/>
  <c r="AE23" s="1"/>
  <c r="AF23" s="1"/>
  <c r="AG23" s="1"/>
  <c r="AH23" s="1"/>
  <c r="C21"/>
  <c r="AC20"/>
  <c r="D18"/>
  <c r="E18" s="1"/>
  <c r="F18" s="1"/>
  <c r="G18" s="1"/>
  <c r="H18" s="1"/>
  <c r="I18" s="1"/>
  <c r="J18" s="1"/>
  <c r="K18" s="1"/>
  <c r="L18" s="1"/>
  <c r="M18" s="1"/>
  <c r="N18" s="1"/>
  <c r="O18" s="1"/>
  <c r="P18" s="1"/>
  <c r="Q18" s="1"/>
  <c r="R18" s="1"/>
  <c r="S18" s="1"/>
  <c r="T18" s="1"/>
  <c r="U18" s="1"/>
  <c r="V18" s="1"/>
  <c r="W18" s="1"/>
  <c r="X18" s="1"/>
  <c r="Y18" s="1"/>
  <c r="Z18" s="1"/>
  <c r="AA18" s="1"/>
  <c r="AB18" s="1"/>
  <c r="AC18" s="1"/>
  <c r="AD18" s="1"/>
  <c r="AE18" s="1"/>
  <c r="AF18" s="1"/>
  <c r="AG18" s="1"/>
  <c r="AH18" s="1"/>
  <c r="C6"/>
  <c r="R4"/>
  <c r="S4" s="1"/>
  <c r="T4" s="1"/>
  <c r="U4" s="1"/>
  <c r="V4" s="1"/>
  <c r="W4" s="1"/>
  <c r="X4" s="1"/>
  <c r="Y4" s="1"/>
  <c r="Z4" s="1"/>
  <c r="AA4" s="1"/>
  <c r="AB4" s="1"/>
  <c r="E4"/>
  <c r="F4"/>
  <c r="G4" s="1"/>
  <c r="H4" s="1"/>
  <c r="I4" s="1"/>
  <c r="J4" s="1"/>
  <c r="K4" s="1"/>
  <c r="L4" s="1"/>
  <c r="M4" s="1"/>
  <c r="N4" s="1"/>
  <c r="O4" s="1"/>
  <c r="D7" i="28"/>
  <c r="P7" s="1"/>
  <c r="B7" s="1"/>
  <c r="D26" i="66"/>
  <c r="E26"/>
  <c r="F26" s="1"/>
  <c r="G26" s="1"/>
  <c r="H26" s="1"/>
  <c r="I26" s="1"/>
  <c r="D22"/>
  <c r="E22" s="1"/>
  <c r="F22" s="1"/>
  <c r="G22" s="1"/>
  <c r="H22" s="1"/>
  <c r="I22" s="1"/>
  <c r="D14"/>
  <c r="E14" s="1"/>
  <c r="F14" s="1"/>
  <c r="G14" s="1"/>
  <c r="H14" s="1"/>
  <c r="I14" s="1"/>
  <c r="D12"/>
  <c r="E12" s="1"/>
  <c r="F12" s="1"/>
  <c r="G12" s="1"/>
  <c r="H12" s="1"/>
  <c r="I12" s="1"/>
  <c r="D13"/>
  <c r="E13" s="1"/>
  <c r="F13" s="1"/>
  <c r="G13" s="1"/>
  <c r="H13" s="1"/>
  <c r="I13" s="1"/>
  <c r="D11"/>
  <c r="E11" s="1"/>
  <c r="F11" s="1"/>
  <c r="G11" s="1"/>
  <c r="H11" s="1"/>
  <c r="I11" s="1"/>
  <c r="D9"/>
  <c r="E9" s="1"/>
  <c r="F9" s="1"/>
  <c r="G9" s="1"/>
  <c r="H9" s="1"/>
  <c r="I9" s="1"/>
  <c r="D8"/>
  <c r="E8" s="1"/>
  <c r="F8" s="1"/>
  <c r="G8" s="1"/>
  <c r="H8" s="1"/>
  <c r="I8" s="1"/>
  <c r="E5"/>
  <c r="F5" s="1"/>
  <c r="G5" s="1"/>
  <c r="H5" s="1"/>
  <c r="I5" s="1"/>
  <c r="E23" i="65"/>
  <c r="E9"/>
  <c r="D27"/>
  <c r="E26"/>
  <c r="D21"/>
  <c r="C21"/>
  <c r="E8"/>
  <c r="D10"/>
  <c r="C10"/>
  <c r="E6"/>
  <c r="AG23" i="28"/>
  <c r="AG36" i="67" s="1"/>
  <c r="AH23" i="28"/>
  <c r="AH36" i="67" s="1"/>
  <c r="AG29" i="28"/>
  <c r="AH29"/>
  <c r="AD24" i="8"/>
  <c r="D25"/>
  <c r="Q25"/>
  <c r="Q24"/>
  <c r="D24"/>
  <c r="CO8" i="64"/>
  <c r="CE6"/>
  <c r="CF6" s="1"/>
  <c r="CG6" s="1"/>
  <c r="CH6" s="1"/>
  <c r="CI6" s="1"/>
  <c r="CJ6" s="1"/>
  <c r="CK6" s="1"/>
  <c r="CL6" s="1"/>
  <c r="CM6" s="1"/>
  <c r="CN6" s="1"/>
  <c r="CB8"/>
  <c r="BR6"/>
  <c r="BS6"/>
  <c r="BT6" s="1"/>
  <c r="BU6" s="1"/>
  <c r="BV6" s="1"/>
  <c r="BW6" s="1"/>
  <c r="BX6" s="1"/>
  <c r="BY6" s="1"/>
  <c r="BZ6" s="1"/>
  <c r="CA6" s="1"/>
  <c r="E6" i="28"/>
  <c r="F6" s="1"/>
  <c r="G6" s="1"/>
  <c r="H6" s="1"/>
  <c r="I6" s="1"/>
  <c r="J6" s="1"/>
  <c r="K6" s="1"/>
  <c r="L6" s="1"/>
  <c r="M6" s="1"/>
  <c r="N6" s="1"/>
  <c r="O6" s="1"/>
  <c r="E4" i="8"/>
  <c r="E25" s="1"/>
  <c r="E34" i="28"/>
  <c r="E32" s="1"/>
  <c r="F34"/>
  <c r="F32" s="1"/>
  <c r="G34"/>
  <c r="G32" s="1"/>
  <c r="D34"/>
  <c r="D32" s="1"/>
  <c r="D17"/>
  <c r="D15" i="8"/>
  <c r="B5" i="64"/>
  <c r="R4" i="8"/>
  <c r="S4" s="1"/>
  <c r="R6" i="28"/>
  <c r="S6" s="1"/>
  <c r="T6" s="1"/>
  <c r="U6" s="1"/>
  <c r="V6" s="1"/>
  <c r="W6" s="1"/>
  <c r="X6" s="1"/>
  <c r="Y6" s="1"/>
  <c r="Z6" s="1"/>
  <c r="AA6" s="1"/>
  <c r="AB6" s="1"/>
  <c r="BE6" i="64"/>
  <c r="BF6"/>
  <c r="BG6" s="1"/>
  <c r="BH6" s="1"/>
  <c r="BI6" s="1"/>
  <c r="BJ6" s="1"/>
  <c r="BK6" s="1"/>
  <c r="BL6" s="1"/>
  <c r="BM6" s="1"/>
  <c r="BN6" s="1"/>
  <c r="AR6"/>
  <c r="AS6"/>
  <c r="AT6" s="1"/>
  <c r="AU6" s="1"/>
  <c r="AV6" s="1"/>
  <c r="AW6" s="1"/>
  <c r="AX6" s="1"/>
  <c r="AY6" s="1"/>
  <c r="AZ6" s="1"/>
  <c r="BA6" s="1"/>
  <c r="AE6"/>
  <c r="AF6"/>
  <c r="AG6" s="1"/>
  <c r="AH6" s="1"/>
  <c r="AI6" s="1"/>
  <c r="AJ6" s="1"/>
  <c r="AK6" s="1"/>
  <c r="AL6" s="1"/>
  <c r="AM6" s="1"/>
  <c r="AN6" s="1"/>
  <c r="R6"/>
  <c r="S6"/>
  <c r="T6" s="1"/>
  <c r="U6" s="1"/>
  <c r="V6" s="1"/>
  <c r="W6" s="1"/>
  <c r="X6" s="1"/>
  <c r="Y6" s="1"/>
  <c r="Z6" s="1"/>
  <c r="AA6" s="1"/>
  <c r="E6"/>
  <c r="F6"/>
  <c r="G6" s="1"/>
  <c r="H6" s="1"/>
  <c r="I6" s="1"/>
  <c r="J6" s="1"/>
  <c r="K6" s="1"/>
  <c r="L6" s="1"/>
  <c r="M6" s="1"/>
  <c r="N6" s="1"/>
  <c r="D4" i="62"/>
  <c r="E4" s="1"/>
  <c r="F4" s="1"/>
  <c r="G4" s="1"/>
  <c r="H4" s="1"/>
  <c r="I4" s="1"/>
  <c r="BO8" i="64"/>
  <c r="BB8"/>
  <c r="AO8"/>
  <c r="AB8"/>
  <c r="AJ38" i="28"/>
  <c r="AK38" s="1"/>
  <c r="AL38" s="1"/>
  <c r="AM38" s="1"/>
  <c r="AN38" s="1"/>
  <c r="AO38" s="1"/>
  <c r="AP38" s="1"/>
  <c r="AQ38" s="1"/>
  <c r="AR38" s="1"/>
  <c r="AS38" s="1"/>
  <c r="AJ37"/>
  <c r="AK37" s="1"/>
  <c r="AL37" s="1"/>
  <c r="AM37" s="1"/>
  <c r="AN37" s="1"/>
  <c r="AO37" s="1"/>
  <c r="AP37" s="1"/>
  <c r="AQ37" s="1"/>
  <c r="AR37" s="1"/>
  <c r="AS37" s="1"/>
  <c r="C3" i="61"/>
  <c r="D3"/>
  <c r="E3" s="1"/>
  <c r="F3" s="1"/>
  <c r="G3" s="1"/>
  <c r="H3" s="1"/>
  <c r="AC24" i="28"/>
  <c r="AC23" s="1"/>
  <c r="AC36" i="67" s="1"/>
  <c r="AE29" i="28"/>
  <c r="AC31"/>
  <c r="AC30"/>
  <c r="AC33"/>
  <c r="P33"/>
  <c r="AD23"/>
  <c r="AD36" i="67" s="1"/>
  <c r="AE23" i="28"/>
  <c r="AE36" i="67" s="1"/>
  <c r="AF23" i="28"/>
  <c r="AF36" i="67" s="1"/>
  <c r="Q29" i="28"/>
  <c r="R29"/>
  <c r="S29"/>
  <c r="T29"/>
  <c r="U29"/>
  <c r="V29"/>
  <c r="W29"/>
  <c r="X29"/>
  <c r="Y29"/>
  <c r="Z29"/>
  <c r="AA29"/>
  <c r="AB29"/>
  <c r="Q23"/>
  <c r="R23"/>
  <c r="S23"/>
  <c r="T23"/>
  <c r="U23"/>
  <c r="V23"/>
  <c r="W23"/>
  <c r="X23"/>
  <c r="Y23"/>
  <c r="Z23"/>
  <c r="AA23"/>
  <c r="AB23"/>
  <c r="AF29"/>
  <c r="K23"/>
  <c r="K26" s="1"/>
  <c r="AD29"/>
  <c r="E17"/>
  <c r="F17"/>
  <c r="G17"/>
  <c r="I34"/>
  <c r="I32" s="1"/>
  <c r="H34"/>
  <c r="H32" s="1"/>
  <c r="I17"/>
  <c r="H17"/>
  <c r="C17" i="67"/>
  <c r="C24"/>
  <c r="C11"/>
  <c r="C5" s="1"/>
  <c r="M30" i="28"/>
  <c r="E8" i="59"/>
  <c r="H12"/>
  <c r="L34" i="28"/>
  <c r="L32" s="1"/>
  <c r="K34"/>
  <c r="K32" s="1"/>
  <c r="J34"/>
  <c r="J17"/>
  <c r="J32"/>
  <c r="K17"/>
  <c r="L17"/>
  <c r="J12" i="59"/>
  <c r="L10" i="28"/>
  <c r="A10"/>
  <c r="A12"/>
  <c r="J8" i="59"/>
  <c r="J5"/>
  <c r="AE24" i="8"/>
  <c r="F4"/>
  <c r="F25" s="1"/>
  <c r="D9"/>
  <c r="E9"/>
  <c r="F9"/>
  <c r="C27" i="65"/>
  <c r="C17"/>
  <c r="E27"/>
  <c r="E21"/>
  <c r="G4" i="8"/>
  <c r="H4" s="1"/>
  <c r="D17" i="65"/>
  <c r="H6" i="69"/>
  <c r="H69" s="1"/>
  <c r="F12" i="28"/>
  <c r="F5" i="8"/>
  <c r="F27" s="1"/>
  <c r="H10" i="28"/>
  <c r="E12"/>
  <c r="E5" i="8"/>
  <c r="D12" i="28"/>
  <c r="F56" i="69"/>
  <c r="D14"/>
  <c r="D22" s="1"/>
  <c r="D30" s="1"/>
  <c r="D38" s="1"/>
  <c r="D46" s="1"/>
  <c r="D54" s="1"/>
  <c r="F48"/>
  <c r="G48" s="1"/>
  <c r="H48" s="1"/>
  <c r="I48" s="1"/>
  <c r="J48" s="1"/>
  <c r="N10" i="28"/>
  <c r="O10"/>
  <c r="P6" i="8"/>
  <c r="M10" i="28"/>
  <c r="G4" i="63"/>
  <c r="H4" s="1"/>
  <c r="F22"/>
  <c r="E10" i="65"/>
  <c r="E27" i="8"/>
  <c r="N19" i="59"/>
  <c r="M29" i="8" s="1"/>
  <c r="N30" i="28"/>
  <c r="P19" i="59"/>
  <c r="O24" i="28" s="1"/>
  <c r="O23" s="1"/>
  <c r="O26" s="1"/>
  <c r="O29" i="8"/>
  <c r="I8" i="59"/>
  <c r="F6" i="65"/>
  <c r="F23"/>
  <c r="H23" s="1"/>
  <c r="D27" i="8"/>
  <c r="D12"/>
  <c r="I12" i="59"/>
  <c r="I5"/>
  <c r="E8" i="69"/>
  <c r="F8" s="1"/>
  <c r="F32"/>
  <c r="F40"/>
  <c r="G40" s="1"/>
  <c r="H40" s="1"/>
  <c r="I40" s="1"/>
  <c r="G32"/>
  <c r="F16"/>
  <c r="G56"/>
  <c r="H56" s="1"/>
  <c r="I56" s="1"/>
  <c r="J56" s="1"/>
  <c r="G22" i="63"/>
  <c r="H8" i="59"/>
  <c r="H5"/>
  <c r="H19" s="1"/>
  <c r="G29" i="8" s="1"/>
  <c r="H32" i="69"/>
  <c r="G10" i="67"/>
  <c r="H10" s="1"/>
  <c r="I10" s="1"/>
  <c r="J10" s="1"/>
  <c r="K10" s="1"/>
  <c r="L10" s="1"/>
  <c r="M10" s="1"/>
  <c r="N10" s="1"/>
  <c r="O10" s="1"/>
  <c r="P10" s="1"/>
  <c r="E17" i="65" l="1"/>
  <c r="E29" s="1"/>
  <c r="I23"/>
  <c r="D29"/>
  <c r="F62" i="69"/>
  <c r="G62" s="1"/>
  <c r="H62" s="1"/>
  <c r="I62" s="1"/>
  <c r="J62" s="1"/>
  <c r="K62" s="1"/>
  <c r="L62" s="1"/>
  <c r="I29" i="28"/>
  <c r="C29" i="65"/>
  <c r="F12"/>
  <c r="H12" s="1"/>
  <c r="F14"/>
  <c r="I19" i="59"/>
  <c r="H29" i="8" s="1"/>
  <c r="O31" i="28"/>
  <c r="N7" i="64" s="1"/>
  <c r="M24" i="28"/>
  <c r="M23" s="1"/>
  <c r="M26" s="1"/>
  <c r="K19" i="59"/>
  <c r="J24" i="28" s="1"/>
  <c r="J23" s="1"/>
  <c r="J26" s="1"/>
  <c r="H24"/>
  <c r="H23" s="1"/>
  <c r="H26" s="1"/>
  <c r="M19" i="59"/>
  <c r="L29" i="8" s="1"/>
  <c r="G24" i="28"/>
  <c r="G23" s="1"/>
  <c r="G26" s="1"/>
  <c r="J19" i="59"/>
  <c r="I24" i="28" s="1"/>
  <c r="I23" s="1"/>
  <c r="I26" s="1"/>
  <c r="O19" i="59"/>
  <c r="G3" i="69"/>
  <c r="G73" s="1"/>
  <c r="F73"/>
  <c r="C16" i="67"/>
  <c r="C28" s="1"/>
  <c r="B33" i="28"/>
  <c r="AC29"/>
  <c r="AJ41" s="1"/>
  <c r="AG3" i="8"/>
  <c r="AF24"/>
  <c r="T4"/>
  <c r="S25"/>
  <c r="D16"/>
  <c r="D17" s="1"/>
  <c r="D18" i="28" s="1"/>
  <c r="E12" i="8"/>
  <c r="F9" i="28"/>
  <c r="G25" i="8"/>
  <c r="R25"/>
  <c r="D19" i="67"/>
  <c r="D17" s="1"/>
  <c r="G6" i="69"/>
  <c r="G69" s="1"/>
  <c r="O29" i="28"/>
  <c r="F8" i="65"/>
  <c r="H8" s="1"/>
  <c r="F16"/>
  <c r="H16" s="1"/>
  <c r="F26"/>
  <c r="H26" s="1"/>
  <c r="F24"/>
  <c r="N24" i="28"/>
  <c r="N23" s="1"/>
  <c r="N26" s="1"/>
  <c r="N31"/>
  <c r="N29" i="8"/>
  <c r="K56" i="69"/>
  <c r="K57" s="1"/>
  <c r="J57"/>
  <c r="J59" s="1"/>
  <c r="I4" i="8"/>
  <c r="H25"/>
  <c r="I29"/>
  <c r="U4"/>
  <c r="T25"/>
  <c r="D18"/>
  <c r="D19" s="1"/>
  <c r="H22" i="63"/>
  <c r="I4"/>
  <c r="K31" i="28"/>
  <c r="J7" i="64" s="1"/>
  <c r="M31" i="28"/>
  <c r="M29" s="1"/>
  <c r="F12" i="8"/>
  <c r="H3" i="69"/>
  <c r="H73" s="1"/>
  <c r="D12" i="59"/>
  <c r="G11"/>
  <c r="Q11" s="1"/>
  <c r="G10"/>
  <c r="Q10" s="1"/>
  <c r="F7"/>
  <c r="G13"/>
  <c r="I35" i="28"/>
  <c r="E9"/>
  <c r="F9" i="59"/>
  <c r="Q9" s="1"/>
  <c r="J58" i="69"/>
  <c r="D17"/>
  <c r="D25" s="1"/>
  <c r="D33" s="1"/>
  <c r="D41" s="1"/>
  <c r="D49" s="1"/>
  <c r="D57" s="1"/>
  <c r="E49"/>
  <c r="E33"/>
  <c r="F49"/>
  <c r="F25"/>
  <c r="F57"/>
  <c r="F33"/>
  <c r="E41"/>
  <c r="F41"/>
  <c r="G49"/>
  <c r="F17"/>
  <c r="G41"/>
  <c r="I49"/>
  <c r="E57"/>
  <c r="G33"/>
  <c r="H33"/>
  <c r="H41"/>
  <c r="I41"/>
  <c r="E17"/>
  <c r="G25"/>
  <c r="H49"/>
  <c r="G57"/>
  <c r="I57"/>
  <c r="D26" i="67"/>
  <c r="G16" i="59"/>
  <c r="D15"/>
  <c r="D9" i="67"/>
  <c r="E9" s="1"/>
  <c r="J49" i="69"/>
  <c r="H57"/>
  <c r="E25"/>
  <c r="C75"/>
  <c r="E75" s="1"/>
  <c r="E74"/>
  <c r="P10" i="28"/>
  <c r="H6" i="65"/>
  <c r="I6" s="1"/>
  <c r="D9" i="28"/>
  <c r="H24" i="65"/>
  <c r="F9"/>
  <c r="F13"/>
  <c r="F15"/>
  <c r="F19"/>
  <c r="F7"/>
  <c r="F25"/>
  <c r="F20"/>
  <c r="G24"/>
  <c r="J24" s="1"/>
  <c r="G12"/>
  <c r="G6"/>
  <c r="G23"/>
  <c r="I6" i="69"/>
  <c r="E64"/>
  <c r="E65" s="1"/>
  <c r="B33" i="33" s="1"/>
  <c r="F9" i="69"/>
  <c r="E9"/>
  <c r="C25" i="63"/>
  <c r="D8" i="59"/>
  <c r="I24" i="65" l="1"/>
  <c r="I12"/>
  <c r="I16"/>
  <c r="G14"/>
  <c r="I8"/>
  <c r="I26"/>
  <c r="H75" i="69"/>
  <c r="F75"/>
  <c r="G75"/>
  <c r="L31" i="28"/>
  <c r="K7" i="64" s="1"/>
  <c r="G16" i="65"/>
  <c r="G8"/>
  <c r="J8" s="1"/>
  <c r="G26"/>
  <c r="J26" s="1"/>
  <c r="H14"/>
  <c r="I14" s="1"/>
  <c r="J14"/>
  <c r="F8" i="59"/>
  <c r="L24" i="28"/>
  <c r="L23" s="1"/>
  <c r="L26" s="1"/>
  <c r="L7" i="64"/>
  <c r="J29" i="8"/>
  <c r="J31" i="28"/>
  <c r="I7" i="64" s="1"/>
  <c r="G8" i="59"/>
  <c r="AH3" i="8"/>
  <c r="AH24" s="1"/>
  <c r="AG24"/>
  <c r="G8" i="69"/>
  <c r="V4" i="8"/>
  <c r="U25"/>
  <c r="J4"/>
  <c r="I25"/>
  <c r="K29" i="28"/>
  <c r="K35" s="1"/>
  <c r="Q13" i="59"/>
  <c r="Q12" s="1"/>
  <c r="B24" s="1"/>
  <c r="G12"/>
  <c r="I3" i="69"/>
  <c r="I73" s="1"/>
  <c r="I22" i="63"/>
  <c r="J4"/>
  <c r="M7" i="64"/>
  <c r="N29" i="28"/>
  <c r="Q8" i="59"/>
  <c r="B23" s="1"/>
  <c r="C23" s="1"/>
  <c r="C40" i="66" s="1"/>
  <c r="K24" i="65"/>
  <c r="J16"/>
  <c r="K16" s="1"/>
  <c r="Q7" i="59"/>
  <c r="E11" i="69"/>
  <c r="E10"/>
  <c r="F10"/>
  <c r="F11"/>
  <c r="F64"/>
  <c r="J23" i="65"/>
  <c r="J12"/>
  <c r="K12" s="1"/>
  <c r="H20"/>
  <c r="I20" s="1"/>
  <c r="G20"/>
  <c r="J20" s="1"/>
  <c r="H7"/>
  <c r="I7" s="1"/>
  <c r="G7"/>
  <c r="J7" s="1"/>
  <c r="F10"/>
  <c r="H15"/>
  <c r="I15" s="1"/>
  <c r="G15"/>
  <c r="J15" s="1"/>
  <c r="G9"/>
  <c r="J9" s="1"/>
  <c r="H9"/>
  <c r="I9" s="1"/>
  <c r="D8" i="67"/>
  <c r="E8" s="1"/>
  <c r="F8" s="1"/>
  <c r="H58" i="69"/>
  <c r="H59"/>
  <c r="I59"/>
  <c r="I58"/>
  <c r="H50"/>
  <c r="H51"/>
  <c r="E18"/>
  <c r="E19"/>
  <c r="H43"/>
  <c r="H42"/>
  <c r="G35"/>
  <c r="G34"/>
  <c r="I51"/>
  <c r="I50"/>
  <c r="F18"/>
  <c r="F19"/>
  <c r="F42"/>
  <c r="F43"/>
  <c r="F34"/>
  <c r="F35"/>
  <c r="F26"/>
  <c r="F27"/>
  <c r="E35"/>
  <c r="E34"/>
  <c r="H25" i="65"/>
  <c r="H27" s="1"/>
  <c r="F27"/>
  <c r="G25"/>
  <c r="G27" s="1"/>
  <c r="H19"/>
  <c r="I19" s="1"/>
  <c r="F21"/>
  <c r="G19"/>
  <c r="J19" s="1"/>
  <c r="G13"/>
  <c r="H13"/>
  <c r="I13" s="1"/>
  <c r="F17"/>
  <c r="E26" i="69"/>
  <c r="E27"/>
  <c r="J50"/>
  <c r="J51"/>
  <c r="K58"/>
  <c r="K59"/>
  <c r="Q16" i="59"/>
  <c r="Q15" s="1"/>
  <c r="B25" s="1"/>
  <c r="G15"/>
  <c r="G58" i="69"/>
  <c r="G59"/>
  <c r="G27"/>
  <c r="G26"/>
  <c r="I43"/>
  <c r="I42"/>
  <c r="H35"/>
  <c r="H34"/>
  <c r="E58"/>
  <c r="E59"/>
  <c r="G42"/>
  <c r="G43"/>
  <c r="G51"/>
  <c r="G50"/>
  <c r="E43"/>
  <c r="E42"/>
  <c r="F59"/>
  <c r="F58"/>
  <c r="F51"/>
  <c r="F50"/>
  <c r="E50"/>
  <c r="E51"/>
  <c r="J6" i="65"/>
  <c r="E76" i="69"/>
  <c r="K26" i="65" l="1"/>
  <c r="I25"/>
  <c r="L29" i="28"/>
  <c r="L35" s="1"/>
  <c r="B35" i="33"/>
  <c r="C5" i="62"/>
  <c r="J29" i="28"/>
  <c r="J35" s="1"/>
  <c r="H10" i="65"/>
  <c r="G17"/>
  <c r="K14"/>
  <c r="G19" i="59"/>
  <c r="F24" i="28" s="1"/>
  <c r="F23" s="1"/>
  <c r="F26" s="1"/>
  <c r="D23" i="59"/>
  <c r="H8" i="69"/>
  <c r="G9"/>
  <c r="K8" i="65"/>
  <c r="K4" i="63"/>
  <c r="K22" s="1"/>
  <c r="J22"/>
  <c r="J3" i="69"/>
  <c r="J73" s="1"/>
  <c r="K4" i="8"/>
  <c r="J25"/>
  <c r="V25"/>
  <c r="W4"/>
  <c r="H17" i="65"/>
  <c r="H21"/>
  <c r="J25"/>
  <c r="J27" s="1"/>
  <c r="G10"/>
  <c r="D24" i="59"/>
  <c r="C24"/>
  <c r="C46" i="66" s="1"/>
  <c r="I10" i="65"/>
  <c r="K7"/>
  <c r="K15"/>
  <c r="D42" i="66"/>
  <c r="E42"/>
  <c r="C42"/>
  <c r="C43" s="1"/>
  <c r="D40" s="1"/>
  <c r="D43" s="1"/>
  <c r="E40" s="1"/>
  <c r="G42"/>
  <c r="H42"/>
  <c r="I42"/>
  <c r="F42"/>
  <c r="E63" i="69"/>
  <c r="F63" s="1"/>
  <c r="G68"/>
  <c r="G64" s="1"/>
  <c r="G13"/>
  <c r="D25" i="59"/>
  <c r="C25"/>
  <c r="E5" i="63"/>
  <c r="F65" i="69"/>
  <c r="C33" i="33" s="1"/>
  <c r="H68" i="69"/>
  <c r="H21"/>
  <c r="F67"/>
  <c r="E61"/>
  <c r="I21" i="65"/>
  <c r="J21"/>
  <c r="K9"/>
  <c r="F29"/>
  <c r="K20"/>
  <c r="G67" i="69"/>
  <c r="G74" s="1"/>
  <c r="J10" i="65"/>
  <c r="J13"/>
  <c r="J17" s="1"/>
  <c r="G21"/>
  <c r="K19"/>
  <c r="I27"/>
  <c r="K6"/>
  <c r="K23"/>
  <c r="F74" i="69" l="1"/>
  <c r="I17" i="65"/>
  <c r="G29"/>
  <c r="F29" i="8"/>
  <c r="E9" i="63"/>
  <c r="E8"/>
  <c r="G76" i="69"/>
  <c r="E5" i="62" s="1"/>
  <c r="K10" i="65"/>
  <c r="H9" i="69"/>
  <c r="I8"/>
  <c r="G10"/>
  <c r="G11"/>
  <c r="K25" i="65"/>
  <c r="K27" s="1"/>
  <c r="K21"/>
  <c r="H29"/>
  <c r="L4" i="8"/>
  <c r="K25"/>
  <c r="F48" i="66"/>
  <c r="I48"/>
  <c r="C48"/>
  <c r="C49" s="1"/>
  <c r="D46" s="1"/>
  <c r="H48"/>
  <c r="G48"/>
  <c r="E48"/>
  <c r="D48"/>
  <c r="W25" i="8"/>
  <c r="X4"/>
  <c r="K3" i="69"/>
  <c r="K73" s="1"/>
  <c r="H64"/>
  <c r="E66"/>
  <c r="B34" i="33" s="1"/>
  <c r="F61" i="69"/>
  <c r="L22"/>
  <c r="L30"/>
  <c r="K22"/>
  <c r="K30"/>
  <c r="J22"/>
  <c r="H24"/>
  <c r="L38"/>
  <c r="E10" i="63"/>
  <c r="E6"/>
  <c r="E7"/>
  <c r="F76" i="69"/>
  <c r="D5" i="62" s="1"/>
  <c r="F5" i="63"/>
  <c r="G65" i="69"/>
  <c r="D33" i="33" s="1"/>
  <c r="I14" i="69"/>
  <c r="I69" s="1"/>
  <c r="K14"/>
  <c r="J14"/>
  <c r="G16"/>
  <c r="J29" i="65"/>
  <c r="K13"/>
  <c r="K17" s="1"/>
  <c r="C26" i="63" s="1"/>
  <c r="C27" s="1"/>
  <c r="I29" i="65"/>
  <c r="E43" i="66"/>
  <c r="F40" s="1"/>
  <c r="F43" s="1"/>
  <c r="G40" s="1"/>
  <c r="G43" s="1"/>
  <c r="H40" s="1"/>
  <c r="H43" s="1"/>
  <c r="I40" s="1"/>
  <c r="I43" s="1"/>
  <c r="I75" i="69" l="1"/>
  <c r="B59" i="33"/>
  <c r="F9" i="63"/>
  <c r="F8"/>
  <c r="D35" i="33"/>
  <c r="D8" i="62"/>
  <c r="J69" i="69"/>
  <c r="J75" s="1"/>
  <c r="H11"/>
  <c r="H10"/>
  <c r="I9"/>
  <c r="J8"/>
  <c r="E11" i="63"/>
  <c r="D49" i="66"/>
  <c r="E46" s="1"/>
  <c r="E49" s="1"/>
  <c r="F46" s="1"/>
  <c r="F49" s="1"/>
  <c r="G46" s="1"/>
  <c r="G49" s="1"/>
  <c r="H46" s="1"/>
  <c r="H49" s="1"/>
  <c r="I46" s="1"/>
  <c r="I49" s="1"/>
  <c r="L3" i="69"/>
  <c r="L73" s="1"/>
  <c r="Y4" i="8"/>
  <c r="X25"/>
  <c r="L25"/>
  <c r="M4"/>
  <c r="F10" i="63"/>
  <c r="F6"/>
  <c r="F7"/>
  <c r="C8" i="62"/>
  <c r="C35" i="33"/>
  <c r="E12" i="63"/>
  <c r="F66" i="69"/>
  <c r="C34" i="33" s="1"/>
  <c r="E1" i="69"/>
  <c r="E28" i="63"/>
  <c r="E29" s="1"/>
  <c r="H16" i="69"/>
  <c r="G17"/>
  <c r="H65"/>
  <c r="E33" i="33" s="1"/>
  <c r="G5" i="63"/>
  <c r="I24" i="69"/>
  <c r="H25"/>
  <c r="T6" i="8"/>
  <c r="T10" i="28" s="1"/>
  <c r="AB6" i="8"/>
  <c r="AB10" i="28" s="1"/>
  <c r="Y6" i="8"/>
  <c r="Y10" i="28" s="1"/>
  <c r="R6" i="8"/>
  <c r="R10" i="28" s="1"/>
  <c r="Z6" i="8"/>
  <c r="Z10" i="28" s="1"/>
  <c r="W6" i="8"/>
  <c r="W10" i="28" s="1"/>
  <c r="X6" i="8"/>
  <c r="X10" i="28" s="1"/>
  <c r="Q6" i="8"/>
  <c r="S6"/>
  <c r="S10" i="28" s="1"/>
  <c r="V6" i="8"/>
  <c r="V10" i="28" s="1"/>
  <c r="U6" i="8"/>
  <c r="U10" i="28" s="1"/>
  <c r="AA6" i="8"/>
  <c r="AA10" i="28" s="1"/>
  <c r="L69" i="69"/>
  <c r="L75" s="1"/>
  <c r="K29" i="65"/>
  <c r="C6" i="66" s="1"/>
  <c r="K69" i="69"/>
  <c r="K75" s="1"/>
  <c r="M69" l="1"/>
  <c r="M75"/>
  <c r="E16" i="63"/>
  <c r="E15"/>
  <c r="G9"/>
  <c r="G8"/>
  <c r="F11"/>
  <c r="I11" i="69"/>
  <c r="I10"/>
  <c r="J9"/>
  <c r="K8"/>
  <c r="Y25" i="8"/>
  <c r="Z4"/>
  <c r="N4"/>
  <c r="M25"/>
  <c r="AC6"/>
  <c r="Q10" i="28"/>
  <c r="AC10" s="1"/>
  <c r="H26" i="69"/>
  <c r="H27"/>
  <c r="G10" i="63"/>
  <c r="G6"/>
  <c r="G7"/>
  <c r="H5"/>
  <c r="I16" i="69"/>
  <c r="H17"/>
  <c r="E17" i="63"/>
  <c r="E14"/>
  <c r="E13"/>
  <c r="J12" i="28"/>
  <c r="J9" s="1"/>
  <c r="J5" i="8"/>
  <c r="L5"/>
  <c r="L12" i="28"/>
  <c r="L9" s="1"/>
  <c r="N12"/>
  <c r="N9" s="1"/>
  <c r="N5" i="8"/>
  <c r="G5"/>
  <c r="P8"/>
  <c r="G12" i="28"/>
  <c r="C18" i="66"/>
  <c r="C17" s="1"/>
  <c r="C15"/>
  <c r="D6"/>
  <c r="J24" i="69"/>
  <c r="I25"/>
  <c r="G19"/>
  <c r="G18"/>
  <c r="I11" i="8"/>
  <c r="I15" i="28" s="1"/>
  <c r="M11" i="8"/>
  <c r="M15" i="28" s="1"/>
  <c r="H11" i="8"/>
  <c r="H15" i="28" s="1"/>
  <c r="L11" i="8"/>
  <c r="L15" i="28" s="1"/>
  <c r="G11" i="8"/>
  <c r="O11"/>
  <c r="O15" i="28" s="1"/>
  <c r="N11" i="8"/>
  <c r="N15" i="28" s="1"/>
  <c r="K11" i="8"/>
  <c r="K15" i="28" s="1"/>
  <c r="J11" i="8"/>
  <c r="J15" i="28" s="1"/>
  <c r="F12" i="63"/>
  <c r="F28"/>
  <c r="F29" s="1"/>
  <c r="F1" i="69"/>
  <c r="K12" i="28"/>
  <c r="K9" s="1"/>
  <c r="K5" i="8"/>
  <c r="I12" i="28"/>
  <c r="I9" s="1"/>
  <c r="I5" i="8"/>
  <c r="M5"/>
  <c r="M12" i="28"/>
  <c r="M9" s="1"/>
  <c r="O5" i="8"/>
  <c r="O12" i="28"/>
  <c r="O9" s="1"/>
  <c r="H12"/>
  <c r="H9" s="1"/>
  <c r="H5" i="8"/>
  <c r="E18" i="63" l="1"/>
  <c r="F16"/>
  <c r="F15"/>
  <c r="H9"/>
  <c r="H8"/>
  <c r="J10" i="69"/>
  <c r="J11"/>
  <c r="K9"/>
  <c r="L8"/>
  <c r="L9" s="1"/>
  <c r="O4" i="8"/>
  <c r="O25" s="1"/>
  <c r="N25"/>
  <c r="Z25"/>
  <c r="AA4"/>
  <c r="O27"/>
  <c r="M27"/>
  <c r="S11"/>
  <c r="S15" i="28" s="1"/>
  <c r="U11" i="8"/>
  <c r="U15" i="28" s="1"/>
  <c r="W11" i="8"/>
  <c r="W15" i="28" s="1"/>
  <c r="Y11" i="8"/>
  <c r="Y15" i="28" s="1"/>
  <c r="AA11" i="8"/>
  <c r="AA15" i="28" s="1"/>
  <c r="Q11" i="8"/>
  <c r="R11"/>
  <c r="R15" i="28" s="1"/>
  <c r="V11" i="8"/>
  <c r="V15" i="28" s="1"/>
  <c r="Z11" i="8"/>
  <c r="Z15" i="28" s="1"/>
  <c r="T11" i="8"/>
  <c r="T15" i="28" s="1"/>
  <c r="AB11" i="8"/>
  <c r="AB15" i="28" s="1"/>
  <c r="X11" i="8"/>
  <c r="X15" i="28" s="1"/>
  <c r="F17" i="63"/>
  <c r="F13"/>
  <c r="F14"/>
  <c r="Z12" i="28"/>
  <c r="Z9" s="1"/>
  <c r="Z5" i="8"/>
  <c r="AA12" i="28"/>
  <c r="AA9" s="1"/>
  <c r="AA5" i="8"/>
  <c r="AB5"/>
  <c r="AB12" i="28"/>
  <c r="AB9" s="1"/>
  <c r="S12"/>
  <c r="S9" s="1"/>
  <c r="S5" i="8"/>
  <c r="Q12" i="28"/>
  <c r="Q5" i="8"/>
  <c r="AC8"/>
  <c r="AC5" s="1"/>
  <c r="X12" i="28"/>
  <c r="X9" s="1"/>
  <c r="X5" i="8"/>
  <c r="I68" i="69"/>
  <c r="I64" s="1"/>
  <c r="I29"/>
  <c r="I32" s="1"/>
  <c r="G63"/>
  <c r="J25"/>
  <c r="K24"/>
  <c r="P5" i="8"/>
  <c r="N27"/>
  <c r="J27"/>
  <c r="H18" i="69"/>
  <c r="I67" s="1"/>
  <c r="I74" s="1"/>
  <c r="I76" s="1"/>
  <c r="G5" i="62" s="1"/>
  <c r="H19" i="69"/>
  <c r="H27" i="8"/>
  <c r="I27"/>
  <c r="K27"/>
  <c r="G15" i="28"/>
  <c r="P15" s="1"/>
  <c r="P11" i="8"/>
  <c r="T12" i="28"/>
  <c r="T9" s="1"/>
  <c r="T5" i="8"/>
  <c r="Y12" i="28"/>
  <c r="Y9" s="1"/>
  <c r="Y5" i="8"/>
  <c r="R12" i="28"/>
  <c r="R9" s="1"/>
  <c r="R5" i="8"/>
  <c r="W5"/>
  <c r="W12" i="28"/>
  <c r="W9" s="1"/>
  <c r="V12"/>
  <c r="V9" s="1"/>
  <c r="V5" i="8"/>
  <c r="U12" i="28"/>
  <c r="U9" s="1"/>
  <c r="U5" i="8"/>
  <c r="H67" i="69"/>
  <c r="G61"/>
  <c r="I26"/>
  <c r="I27"/>
  <c r="E6" i="66"/>
  <c r="D15"/>
  <c r="D18"/>
  <c r="D17" s="1"/>
  <c r="G9" i="28"/>
  <c r="G8" i="67" s="1"/>
  <c r="H8" s="1"/>
  <c r="I8" s="1"/>
  <c r="J8" s="1"/>
  <c r="K8" s="1"/>
  <c r="L8" s="1"/>
  <c r="M8" s="1"/>
  <c r="N8" s="1"/>
  <c r="O8" s="1"/>
  <c r="P8" s="1"/>
  <c r="P12" i="28"/>
  <c r="G27" i="8"/>
  <c r="L27"/>
  <c r="J16" i="69"/>
  <c r="I17"/>
  <c r="H6" i="63"/>
  <c r="H10"/>
  <c r="H7"/>
  <c r="E19"/>
  <c r="G11"/>
  <c r="H74" i="69" l="1"/>
  <c r="K10"/>
  <c r="K11"/>
  <c r="L10"/>
  <c r="L11"/>
  <c r="F18" i="63"/>
  <c r="F19" s="1"/>
  <c r="V10" i="8" s="1"/>
  <c r="AB4"/>
  <c r="AB25" s="1"/>
  <c r="AA25"/>
  <c r="J10"/>
  <c r="K10"/>
  <c r="K14" i="28" s="1"/>
  <c r="L10" i="8"/>
  <c r="M10"/>
  <c r="I10"/>
  <c r="G10"/>
  <c r="N10"/>
  <c r="H10"/>
  <c r="O10"/>
  <c r="I19" i="69"/>
  <c r="I18"/>
  <c r="P27" i="8"/>
  <c r="F6" i="66"/>
  <c r="E18"/>
  <c r="E17" s="1"/>
  <c r="E15"/>
  <c r="H76" i="69"/>
  <c r="F5" i="62" s="1"/>
  <c r="W27" i="8"/>
  <c r="F35" i="33"/>
  <c r="B4" i="61"/>
  <c r="J27" i="69"/>
  <c r="J26"/>
  <c r="I33"/>
  <c r="J32"/>
  <c r="X27" i="8"/>
  <c r="C4" i="61"/>
  <c r="Q9" i="28"/>
  <c r="Q8" i="67" s="1"/>
  <c r="R8" s="1"/>
  <c r="S8" s="1"/>
  <c r="T8" s="1"/>
  <c r="U8" s="1"/>
  <c r="V8" s="1"/>
  <c r="W8" s="1"/>
  <c r="X8" s="1"/>
  <c r="Y8" s="1"/>
  <c r="Z8" s="1"/>
  <c r="AA8" s="1"/>
  <c r="AB8" s="1"/>
  <c r="AC8" s="1"/>
  <c r="AC12" i="28"/>
  <c r="AC9" s="1"/>
  <c r="AB27" i="8"/>
  <c r="AC11"/>
  <c r="Q15" i="28"/>
  <c r="AC15" s="1"/>
  <c r="K16" i="69"/>
  <c r="J17"/>
  <c r="P9" i="28"/>
  <c r="H61" i="69"/>
  <c r="G66"/>
  <c r="D34" i="33" s="1"/>
  <c r="U27" i="8"/>
  <c r="V27"/>
  <c r="R27"/>
  <c r="Y27"/>
  <c r="T27"/>
  <c r="J68" i="69"/>
  <c r="J64" s="1"/>
  <c r="J37"/>
  <c r="J40" s="1"/>
  <c r="L24"/>
  <c r="L25" s="1"/>
  <c r="K25"/>
  <c r="I65"/>
  <c r="F33" i="33" s="1"/>
  <c r="Q27" i="8"/>
  <c r="S27"/>
  <c r="AA27"/>
  <c r="Z27"/>
  <c r="H11" i="63"/>
  <c r="H63" i="69"/>
  <c r="T10" i="8" l="1"/>
  <c r="T14" i="28" s="1"/>
  <c r="Q10" i="8"/>
  <c r="Q14" i="28" s="1"/>
  <c r="Z10" i="8"/>
  <c r="Z9" s="1"/>
  <c r="Z12" s="1"/>
  <c r="Y10"/>
  <c r="Y14" i="28" s="1"/>
  <c r="W10" i="8"/>
  <c r="W14" i="28" s="1"/>
  <c r="R10" i="8"/>
  <c r="R14" i="28" s="1"/>
  <c r="AE6" i="8"/>
  <c r="AE10" i="28" s="1"/>
  <c r="F8" i="62"/>
  <c r="U10" i="8"/>
  <c r="U9" s="1"/>
  <c r="U12" s="1"/>
  <c r="X10"/>
  <c r="AB10"/>
  <c r="AB9" s="1"/>
  <c r="AB12" s="1"/>
  <c r="AA10"/>
  <c r="AA14" i="28" s="1"/>
  <c r="S10" i="8"/>
  <c r="S14" i="28" s="1"/>
  <c r="AC27" i="8"/>
  <c r="K27" i="69"/>
  <c r="K26"/>
  <c r="K40"/>
  <c r="J41"/>
  <c r="H66"/>
  <c r="E34" i="33" s="1"/>
  <c r="G12" i="63"/>
  <c r="G1" i="69"/>
  <c r="G28" i="63"/>
  <c r="G29" s="1"/>
  <c r="AD11" i="8" s="1"/>
  <c r="J19" i="69"/>
  <c r="J18"/>
  <c r="V14" i="28"/>
  <c r="V9" i="8"/>
  <c r="V12" s="1"/>
  <c r="K32" i="69"/>
  <c r="J33"/>
  <c r="F18" i="66"/>
  <c r="F17" s="1"/>
  <c r="F15"/>
  <c r="G6"/>
  <c r="H9" i="8"/>
  <c r="H12" s="1"/>
  <c r="H14" i="28"/>
  <c r="G9" i="8"/>
  <c r="G12" s="1"/>
  <c r="G14" i="28"/>
  <c r="P10" i="8"/>
  <c r="M14" i="28"/>
  <c r="M9" i="8"/>
  <c r="M12" s="1"/>
  <c r="K9"/>
  <c r="K12" s="1"/>
  <c r="I5" i="63"/>
  <c r="J65" i="69"/>
  <c r="G33" i="33" s="1"/>
  <c r="L27" i="69"/>
  <c r="L26"/>
  <c r="L16"/>
  <c r="L17" s="1"/>
  <c r="K17"/>
  <c r="Q9" i="8"/>
  <c r="Q12" s="1"/>
  <c r="Y9"/>
  <c r="Y12" s="1"/>
  <c r="T9"/>
  <c r="T12" s="1"/>
  <c r="I34" i="69"/>
  <c r="I61" s="1"/>
  <c r="I35"/>
  <c r="K68" s="1"/>
  <c r="K64" s="1"/>
  <c r="E35" i="33"/>
  <c r="E8" i="62"/>
  <c r="AD12" i="28" s="1"/>
  <c r="O9" i="8"/>
  <c r="O12" s="1"/>
  <c r="O14" i="28"/>
  <c r="N9" i="8"/>
  <c r="N12" s="1"/>
  <c r="N14" i="28"/>
  <c r="I14"/>
  <c r="I9" i="8"/>
  <c r="I12" s="1"/>
  <c r="L9"/>
  <c r="L12" s="1"/>
  <c r="L14" i="28"/>
  <c r="J9" i="8"/>
  <c r="J12" s="1"/>
  <c r="J14" i="28"/>
  <c r="X9" i="8" l="1"/>
  <c r="X12" s="1"/>
  <c r="X14" i="28"/>
  <c r="Z14"/>
  <c r="R9" i="8"/>
  <c r="R12" s="1"/>
  <c r="AB14" i="28"/>
  <c r="W9" i="8"/>
  <c r="W12" s="1"/>
  <c r="S9"/>
  <c r="S12" s="1"/>
  <c r="U14" i="28"/>
  <c r="AA9" i="8"/>
  <c r="AA12" s="1"/>
  <c r="AC10"/>
  <c r="AC9" s="1"/>
  <c r="C8" i="61" s="1"/>
  <c r="C9" s="1"/>
  <c r="C10" s="1"/>
  <c r="G16" i="63"/>
  <c r="G15"/>
  <c r="I9"/>
  <c r="I8"/>
  <c r="AE5" i="8"/>
  <c r="E4" i="61" s="1"/>
  <c r="AE12" i="28"/>
  <c r="AE9" s="1"/>
  <c r="I63" i="69"/>
  <c r="I66" s="1"/>
  <c r="F34" i="33" s="1"/>
  <c r="J67" i="69"/>
  <c r="AD6" i="8"/>
  <c r="L19" i="69"/>
  <c r="L18"/>
  <c r="K65"/>
  <c r="H33" i="33" s="1"/>
  <c r="J5" i="63"/>
  <c r="H6" i="66"/>
  <c r="G15"/>
  <c r="G18"/>
  <c r="G17" s="1"/>
  <c r="J35" i="69"/>
  <c r="J34"/>
  <c r="H12" i="63"/>
  <c r="H1" i="69"/>
  <c r="H28" i="63"/>
  <c r="H29" s="1"/>
  <c r="AE11" i="8" s="1"/>
  <c r="AE15" i="28" s="1"/>
  <c r="L40" i="69"/>
  <c r="L41" s="1"/>
  <c r="K41"/>
  <c r="F14" i="28"/>
  <c r="R10" i="67"/>
  <c r="S10" s="1"/>
  <c r="T10" s="1"/>
  <c r="K19" i="69"/>
  <c r="K18"/>
  <c r="I10" i="63"/>
  <c r="I7"/>
  <c r="I6"/>
  <c r="P9" i="8"/>
  <c r="L32" i="69"/>
  <c r="L33" s="1"/>
  <c r="K33"/>
  <c r="AD15" i="28"/>
  <c r="G14" i="63"/>
  <c r="G13"/>
  <c r="G17"/>
  <c r="J42" i="69"/>
  <c r="J43"/>
  <c r="K45"/>
  <c r="K48" s="1"/>
  <c r="J74" l="1"/>
  <c r="J76" s="1"/>
  <c r="H5" i="62" s="1"/>
  <c r="F28" i="8"/>
  <c r="F30" s="1"/>
  <c r="U10" i="67"/>
  <c r="V10" s="1"/>
  <c r="W10" s="1"/>
  <c r="AC10" s="1"/>
  <c r="AD10" s="1"/>
  <c r="AE10" s="1"/>
  <c r="AF10" s="1"/>
  <c r="AG10" s="1"/>
  <c r="AH10" s="1"/>
  <c r="AC14" i="28"/>
  <c r="AE27" i="8"/>
  <c r="AC12"/>
  <c r="H16" i="63"/>
  <c r="H15"/>
  <c r="J9"/>
  <c r="J8"/>
  <c r="J61" i="69"/>
  <c r="J63"/>
  <c r="J66" s="1"/>
  <c r="G34" i="33" s="1"/>
  <c r="L68" i="69"/>
  <c r="L64" s="1"/>
  <c r="L65" s="1"/>
  <c r="K67"/>
  <c r="K74" s="1"/>
  <c r="K76" s="1"/>
  <c r="I5" i="62" s="1"/>
  <c r="K49" i="69"/>
  <c r="L48"/>
  <c r="L49" s="1"/>
  <c r="L35"/>
  <c r="L34"/>
  <c r="B8" i="61"/>
  <c r="B9" s="1"/>
  <c r="B10" s="1"/>
  <c r="P12" i="8"/>
  <c r="P14" i="28"/>
  <c r="F9" i="67"/>
  <c r="G9" s="1"/>
  <c r="H9" s="1"/>
  <c r="I9" s="1"/>
  <c r="J9" s="1"/>
  <c r="K9" s="1"/>
  <c r="L9" s="1"/>
  <c r="M9" s="1"/>
  <c r="N9" s="1"/>
  <c r="O9" s="1"/>
  <c r="G35" i="33"/>
  <c r="K42" i="69"/>
  <c r="K43"/>
  <c r="I12" i="63"/>
  <c r="I1" i="69"/>
  <c r="I28" i="63"/>
  <c r="I29" s="1"/>
  <c r="AF11" i="8" s="1"/>
  <c r="AF15" i="28" s="1"/>
  <c r="I6" i="66"/>
  <c r="H18"/>
  <c r="H17" s="1"/>
  <c r="H15"/>
  <c r="K34" i="69"/>
  <c r="K35"/>
  <c r="L42"/>
  <c r="L43"/>
  <c r="H17" i="63"/>
  <c r="H13"/>
  <c r="H14"/>
  <c r="J7"/>
  <c r="J6"/>
  <c r="J10"/>
  <c r="K5"/>
  <c r="AD10" i="28"/>
  <c r="AD5" i="8"/>
  <c r="L53" i="69"/>
  <c r="L56" s="1"/>
  <c r="L57" s="1"/>
  <c r="G18" i="63"/>
  <c r="G19" s="1"/>
  <c r="AD10" i="8" s="1"/>
  <c r="AD14" i="28" s="1"/>
  <c r="I11" i="63"/>
  <c r="B85" i="69" l="1"/>
  <c r="I16" i="63"/>
  <c r="I15"/>
  <c r="K9"/>
  <c r="K8"/>
  <c r="AF6" i="8"/>
  <c r="AF10" i="28" s="1"/>
  <c r="G8" i="62"/>
  <c r="AF12" i="28" s="1"/>
  <c r="H18" i="63"/>
  <c r="H19" s="1"/>
  <c r="AE10" i="8" s="1"/>
  <c r="AE14" i="28" s="1"/>
  <c r="AD9" i="8"/>
  <c r="AD12" s="1"/>
  <c r="L58" i="69"/>
  <c r="L59"/>
  <c r="I15" i="66"/>
  <c r="I18"/>
  <c r="I17" s="1"/>
  <c r="I13" i="63"/>
  <c r="I14"/>
  <c r="I17"/>
  <c r="P9" i="67"/>
  <c r="Q9" s="1"/>
  <c r="R9" s="1"/>
  <c r="S9" s="1"/>
  <c r="T9" s="1"/>
  <c r="U9" s="1"/>
  <c r="V9" s="1"/>
  <c r="W9" s="1"/>
  <c r="X9" s="1"/>
  <c r="Y9" s="1"/>
  <c r="Z9" s="1"/>
  <c r="AA9" s="1"/>
  <c r="AB9" s="1"/>
  <c r="L50" i="69"/>
  <c r="L51"/>
  <c r="H35" i="33"/>
  <c r="AD27" i="8"/>
  <c r="D4" i="61"/>
  <c r="AD9" i="28"/>
  <c r="K10" i="63"/>
  <c r="K7"/>
  <c r="K6"/>
  <c r="J12"/>
  <c r="J1" i="69"/>
  <c r="J28" i="63"/>
  <c r="J29" s="1"/>
  <c r="AG11" i="8" s="1"/>
  <c r="K51" i="69"/>
  <c r="K63" s="1"/>
  <c r="K50"/>
  <c r="K61" s="1"/>
  <c r="J11" i="63"/>
  <c r="J16" l="1"/>
  <c r="J15"/>
  <c r="AF5" i="8"/>
  <c r="F4" i="61" s="1"/>
  <c r="AG6" i="8"/>
  <c r="AG10" i="28" s="1"/>
  <c r="H8" i="62"/>
  <c r="AG12" i="28" s="1"/>
  <c r="AE9" i="8"/>
  <c r="AE12" s="1"/>
  <c r="L67" i="69"/>
  <c r="K11" i="63"/>
  <c r="K66" i="69"/>
  <c r="H34" i="33" s="1"/>
  <c r="P32" i="67"/>
  <c r="AF9" i="28"/>
  <c r="AG15"/>
  <c r="J14" i="63"/>
  <c r="J13"/>
  <c r="J17"/>
  <c r="AF27" i="8"/>
  <c r="D8" i="61"/>
  <c r="D9" s="1"/>
  <c r="D10" s="1"/>
  <c r="L63" i="69"/>
  <c r="AD8" i="67"/>
  <c r="I18" i="63"/>
  <c r="I19" s="1"/>
  <c r="AF10" i="8" s="1"/>
  <c r="AF14" i="28" s="1"/>
  <c r="L74" i="69" l="1"/>
  <c r="L76" s="1"/>
  <c r="M67"/>
  <c r="M74"/>
  <c r="M73" s="1"/>
  <c r="E8" i="61"/>
  <c r="E9" s="1"/>
  <c r="E10" s="1"/>
  <c r="AG5" i="8"/>
  <c r="G4" i="61" s="1"/>
  <c r="L61" i="69"/>
  <c r="L66" s="1"/>
  <c r="B86" s="1"/>
  <c r="B92" s="1"/>
  <c r="B6" i="59" s="1"/>
  <c r="D6" s="1"/>
  <c r="AF9" i="8"/>
  <c r="AE8" i="67"/>
  <c r="AC9"/>
  <c r="AD9" s="1"/>
  <c r="AE9" s="1"/>
  <c r="AF9" s="1"/>
  <c r="K12" i="63"/>
  <c r="K1" i="69"/>
  <c r="K28" i="63"/>
  <c r="K29" s="1"/>
  <c r="AH11" i="8" s="1"/>
  <c r="J18" i="63"/>
  <c r="J19" s="1"/>
  <c r="AG10" i="8" s="1"/>
  <c r="AG9" i="28"/>
  <c r="F6" i="59" l="1"/>
  <c r="F5" s="1"/>
  <c r="F19" s="1"/>
  <c r="E6"/>
  <c r="D5"/>
  <c r="D19" s="1"/>
  <c r="B84" i="69"/>
  <c r="K16" i="63"/>
  <c r="K15"/>
  <c r="AG27" i="8"/>
  <c r="AH6"/>
  <c r="AH10" i="28" s="1"/>
  <c r="B10" s="1"/>
  <c r="I8" i="62"/>
  <c r="AH15" i="28"/>
  <c r="B15" s="1"/>
  <c r="B11" i="8"/>
  <c r="L1" i="69"/>
  <c r="C29" i="53" s="1"/>
  <c r="AD32" i="67"/>
  <c r="F8" i="61"/>
  <c r="F9" s="1"/>
  <c r="F10" s="1"/>
  <c r="AF12" i="8"/>
  <c r="AG9"/>
  <c r="AG14" i="28"/>
  <c r="AG9" i="67" s="1"/>
  <c r="K13" i="63"/>
  <c r="K14"/>
  <c r="K17"/>
  <c r="AC32" i="67"/>
  <c r="AF8"/>
  <c r="E29" i="8" l="1"/>
  <c r="E30" s="1"/>
  <c r="E24" i="28"/>
  <c r="E23" s="1"/>
  <c r="E26" s="1"/>
  <c r="Q6" i="59"/>
  <c r="Q5" s="1"/>
  <c r="E5"/>
  <c r="E19" s="1"/>
  <c r="AH5" i="8"/>
  <c r="AH27" s="1"/>
  <c r="B27" s="1"/>
  <c r="B6"/>
  <c r="B8"/>
  <c r="AH12" i="28"/>
  <c r="AE32" i="67"/>
  <c r="AG32"/>
  <c r="G8" i="61"/>
  <c r="G9" s="1"/>
  <c r="G10" s="1"/>
  <c r="AG12" i="8"/>
  <c r="AF32" i="67"/>
  <c r="AG8"/>
  <c r="K18" i="63"/>
  <c r="K19" s="1"/>
  <c r="AH10" i="8" s="1"/>
  <c r="B22" i="59" l="1"/>
  <c r="Q19"/>
  <c r="D20" s="1"/>
  <c r="D24" i="28"/>
  <c r="D29" i="8"/>
  <c r="B5"/>
  <c r="H4" i="61"/>
  <c r="AH9" i="28"/>
  <c r="B9" s="1"/>
  <c r="B12"/>
  <c r="AH14"/>
  <c r="AH9" i="67" s="1"/>
  <c r="AH32" s="1"/>
  <c r="AH9" i="8"/>
  <c r="B10"/>
  <c r="D23" i="28" l="1"/>
  <c r="P24"/>
  <c r="C22" i="59"/>
  <c r="B26"/>
  <c r="D22"/>
  <c r="D26" s="1"/>
  <c r="D30" i="8"/>
  <c r="D32" s="1"/>
  <c r="P29"/>
  <c r="B29" s="1"/>
  <c r="AH8" i="67"/>
  <c r="H8" i="61"/>
  <c r="H9" s="1"/>
  <c r="H10" s="1"/>
  <c r="AH12" i="8"/>
  <c r="B9"/>
  <c r="B14" i="28"/>
  <c r="C26" i="59" l="1"/>
  <c r="C34" i="66"/>
  <c r="D26" i="28"/>
  <c r="P26" s="1"/>
  <c r="D12" i="67"/>
  <c r="D19" i="28"/>
  <c r="D13" s="1"/>
  <c r="D20" s="1"/>
  <c r="D31" i="8"/>
  <c r="E32" s="1"/>
  <c r="P23" i="28"/>
  <c r="B24"/>
  <c r="B12" i="8"/>
  <c r="D30" i="28" l="1"/>
  <c r="B23"/>
  <c r="P36" i="67"/>
  <c r="D14"/>
  <c r="D11" s="1"/>
  <c r="E31" i="8"/>
  <c r="F32" s="1"/>
  <c r="E19" i="28"/>
  <c r="E12" i="67"/>
  <c r="F12" s="1"/>
  <c r="H36" i="66"/>
  <c r="H30" s="1"/>
  <c r="AG14" i="8" s="1"/>
  <c r="AG35" i="67" s="1"/>
  <c r="G36" i="66"/>
  <c r="G30" s="1"/>
  <c r="AF14" i="8" s="1"/>
  <c r="AF35" i="67" s="1"/>
  <c r="E36" i="66"/>
  <c r="E30" s="1"/>
  <c r="AD14" i="8" s="1"/>
  <c r="AD35" i="67" s="1"/>
  <c r="C28" i="66"/>
  <c r="F36"/>
  <c r="F30" s="1"/>
  <c r="AE14" i="8" s="1"/>
  <c r="AE35" i="67" s="1"/>
  <c r="D36" i="66"/>
  <c r="D30" s="1"/>
  <c r="C36"/>
  <c r="C30" s="1"/>
  <c r="I36"/>
  <c r="I30" s="1"/>
  <c r="AH14" i="8" s="1"/>
  <c r="AH35" i="67" s="1"/>
  <c r="C37" i="66"/>
  <c r="D34" s="1"/>
  <c r="C21" l="1"/>
  <c r="C20" s="1"/>
  <c r="H13" i="8" s="1"/>
  <c r="C31" i="66"/>
  <c r="G16" i="28"/>
  <c r="I13" i="8"/>
  <c r="I16" i="28"/>
  <c r="G13" i="8"/>
  <c r="M13"/>
  <c r="AA14"/>
  <c r="Z14"/>
  <c r="Q14"/>
  <c r="Y14"/>
  <c r="S14"/>
  <c r="X14"/>
  <c r="T14"/>
  <c r="U14"/>
  <c r="R14"/>
  <c r="V14"/>
  <c r="AB14"/>
  <c r="W14"/>
  <c r="B26" i="28"/>
  <c r="B3" i="33"/>
  <c r="D25" i="67"/>
  <c r="D28" i="66"/>
  <c r="D31" s="1"/>
  <c r="D37"/>
  <c r="E34" s="1"/>
  <c r="G14" i="8"/>
  <c r="H14"/>
  <c r="J14"/>
  <c r="M14"/>
  <c r="K14"/>
  <c r="I14"/>
  <c r="N14"/>
  <c r="O14"/>
  <c r="L14"/>
  <c r="E14" i="67"/>
  <c r="E11" s="1"/>
  <c r="F31" i="8"/>
  <c r="D31" i="28"/>
  <c r="C7" i="64" s="1"/>
  <c r="C12" s="1"/>
  <c r="L16" i="28" l="1"/>
  <c r="J16"/>
  <c r="M16"/>
  <c r="N16"/>
  <c r="N13" i="8"/>
  <c r="H16" i="28"/>
  <c r="K13" i="8"/>
  <c r="O16" i="28"/>
  <c r="J13" i="8"/>
  <c r="K16" i="28"/>
  <c r="L13" i="8"/>
  <c r="O13"/>
  <c r="F19" i="28"/>
  <c r="D21" i="66"/>
  <c r="D20" s="1"/>
  <c r="M28" i="8" s="1"/>
  <c r="M30" s="1"/>
  <c r="D29" i="28"/>
  <c r="D35" s="1"/>
  <c r="D9" i="64"/>
  <c r="E15" i="8" s="1"/>
  <c r="D22" i="67"/>
  <c r="D21" s="1"/>
  <c r="F14"/>
  <c r="F11" s="1"/>
  <c r="E37" i="66"/>
  <c r="F34" s="1"/>
  <c r="E28"/>
  <c r="E31" s="1"/>
  <c r="D24" i="67"/>
  <c r="P14" i="8"/>
  <c r="G12" i="67"/>
  <c r="H12" s="1"/>
  <c r="I12" s="1"/>
  <c r="J12" s="1"/>
  <c r="K12" s="1"/>
  <c r="L12" s="1"/>
  <c r="M12" s="1"/>
  <c r="N12" s="1"/>
  <c r="O12" s="1"/>
  <c r="AC14" i="8"/>
  <c r="AC35" i="67" s="1"/>
  <c r="P16" i="28" l="1"/>
  <c r="L28" i="8"/>
  <c r="L30" s="1"/>
  <c r="J28"/>
  <c r="J30" s="1"/>
  <c r="K28"/>
  <c r="K30" s="1"/>
  <c r="G28"/>
  <c r="G30" s="1"/>
  <c r="G32" s="1"/>
  <c r="O28"/>
  <c r="O30" s="1"/>
  <c r="H28"/>
  <c r="H30" s="1"/>
  <c r="N28"/>
  <c r="N30" s="1"/>
  <c r="I28"/>
  <c r="I30" s="1"/>
  <c r="P13"/>
  <c r="E21" i="66"/>
  <c r="E20" s="1"/>
  <c r="AD16" i="28" s="1"/>
  <c r="B14" i="8"/>
  <c r="P35" i="67"/>
  <c r="W13" i="8"/>
  <c r="Q13"/>
  <c r="Q28" s="1"/>
  <c r="Q16" i="28"/>
  <c r="U13" i="8"/>
  <c r="AB13"/>
  <c r="Z13"/>
  <c r="V16" i="28"/>
  <c r="S16"/>
  <c r="V13" i="8"/>
  <c r="T13"/>
  <c r="S13"/>
  <c r="R13"/>
  <c r="AA13"/>
  <c r="X16" i="28"/>
  <c r="W16"/>
  <c r="X13" i="8"/>
  <c r="Y16" i="28"/>
  <c r="AA16"/>
  <c r="R16"/>
  <c r="AB16"/>
  <c r="T16"/>
  <c r="U16"/>
  <c r="Z16"/>
  <c r="Y13" i="8"/>
  <c r="D16" i="67"/>
  <c r="P12"/>
  <c r="F37" i="66"/>
  <c r="G34" s="1"/>
  <c r="F28"/>
  <c r="F31" s="1"/>
  <c r="E19" i="67"/>
  <c r="E16" i="8"/>
  <c r="E17" s="1"/>
  <c r="D36" i="28"/>
  <c r="D37"/>
  <c r="F21" i="66" l="1"/>
  <c r="F20" s="1"/>
  <c r="P28" i="8"/>
  <c r="AD13"/>
  <c r="Y28"/>
  <c r="Y30" s="1"/>
  <c r="X28"/>
  <c r="X30" s="1"/>
  <c r="R28"/>
  <c r="R30" s="1"/>
  <c r="T28"/>
  <c r="T30" s="1"/>
  <c r="Z28"/>
  <c r="Z30" s="1"/>
  <c r="U28"/>
  <c r="U30" s="1"/>
  <c r="AD28"/>
  <c r="AD30" s="1"/>
  <c r="AA28"/>
  <c r="AA30" s="1"/>
  <c r="S28"/>
  <c r="S30" s="1"/>
  <c r="V28"/>
  <c r="V30" s="1"/>
  <c r="AB28"/>
  <c r="AB30" s="1"/>
  <c r="W28"/>
  <c r="W30" s="1"/>
  <c r="E7" i="28"/>
  <c r="D7" i="67"/>
  <c r="D6" s="1"/>
  <c r="D5" s="1"/>
  <c r="D28" s="1"/>
  <c r="AE16" i="28"/>
  <c r="AE13" i="8"/>
  <c r="E17" i="67"/>
  <c r="D38" i="28"/>
  <c r="AC16"/>
  <c r="E18" i="8"/>
  <c r="E19" s="1"/>
  <c r="E26" i="67" s="1"/>
  <c r="E18" i="28"/>
  <c r="E13" s="1"/>
  <c r="E20" s="1"/>
  <c r="G37" i="66"/>
  <c r="H34" s="1"/>
  <c r="G28"/>
  <c r="G31" s="1"/>
  <c r="G21"/>
  <c r="G20" s="1"/>
  <c r="Q12" i="67"/>
  <c r="R12" s="1"/>
  <c r="S12" s="1"/>
  <c r="T12" s="1"/>
  <c r="U12" s="1"/>
  <c r="V12" s="1"/>
  <c r="W12" s="1"/>
  <c r="X12" s="1"/>
  <c r="P30" i="8"/>
  <c r="G31"/>
  <c r="H32" s="1"/>
  <c r="AC13"/>
  <c r="AE28" l="1"/>
  <c r="AE30" s="1"/>
  <c r="G19" i="28"/>
  <c r="AF13" i="8"/>
  <c r="AF16" i="28"/>
  <c r="H28" i="66"/>
  <c r="H31" s="1"/>
  <c r="H37"/>
  <c r="I34" s="1"/>
  <c r="AC28" i="8"/>
  <c r="Q30"/>
  <c r="AC30" s="1"/>
  <c r="G14" i="67"/>
  <c r="G11" s="1"/>
  <c r="H19" i="28"/>
  <c r="H31" i="8"/>
  <c r="I32" s="1"/>
  <c r="E30" i="28"/>
  <c r="Y12" i="67"/>
  <c r="AF28" i="8" l="1"/>
  <c r="AF30" s="1"/>
  <c r="H21" i="66"/>
  <c r="H20" s="1"/>
  <c r="AG13" i="8" s="1"/>
  <c r="AG28" s="1"/>
  <c r="E31" i="28"/>
  <c r="D7" i="64" s="1"/>
  <c r="D12" s="1"/>
  <c r="E25" i="67"/>
  <c r="E24" s="1"/>
  <c r="H14"/>
  <c r="H11" s="1"/>
  <c r="I19" i="28"/>
  <c r="I31" i="8"/>
  <c r="J32" s="1"/>
  <c r="I37" i="66"/>
  <c r="I21" s="1"/>
  <c r="I20" s="1"/>
  <c r="I28"/>
  <c r="I31" s="1"/>
  <c r="Z12" i="67"/>
  <c r="AG16" i="28" l="1"/>
  <c r="E29"/>
  <c r="E35" s="1"/>
  <c r="E36" s="1"/>
  <c r="AH16"/>
  <c r="B16" s="1"/>
  <c r="AH13" i="8"/>
  <c r="B58" i="33"/>
  <c r="E22" i="67"/>
  <c r="E21" s="1"/>
  <c r="E16" s="1"/>
  <c r="E9" i="64"/>
  <c r="F15" i="8" s="1"/>
  <c r="J19" i="28"/>
  <c r="I14" i="67"/>
  <c r="I11" s="1"/>
  <c r="J31" i="8"/>
  <c r="K32" s="1"/>
  <c r="AA12" i="67"/>
  <c r="AH28" i="8" l="1"/>
  <c r="AH30" s="1"/>
  <c r="E37" i="28"/>
  <c r="F7" s="1"/>
  <c r="B13" i="8"/>
  <c r="J14" i="67"/>
  <c r="J11" s="1"/>
  <c r="K31" i="8"/>
  <c r="L32" s="1"/>
  <c r="F16"/>
  <c r="F17" s="1"/>
  <c r="F19" i="67"/>
  <c r="F17" s="1"/>
  <c r="AG30" i="8"/>
  <c r="AB12" i="67"/>
  <c r="E38" i="28" l="1"/>
  <c r="E7" i="67"/>
  <c r="E6" s="1"/>
  <c r="E5" s="1"/>
  <c r="E28" s="1"/>
  <c r="B28" i="8"/>
  <c r="B30"/>
  <c r="K19" i="28"/>
  <c r="F18" i="8"/>
  <c r="F19" s="1"/>
  <c r="F26" i="67" s="1"/>
  <c r="F18" i="28"/>
  <c r="F13" s="1"/>
  <c r="F20" s="1"/>
  <c r="L19"/>
  <c r="L31" i="8"/>
  <c r="M32" s="1"/>
  <c r="K14" i="67"/>
  <c r="K11" s="1"/>
  <c r="AC12"/>
  <c r="L14" l="1"/>
  <c r="L11" s="1"/>
  <c r="M19" i="28"/>
  <c r="M31" i="8"/>
  <c r="N32" s="1"/>
  <c r="F30" i="28"/>
  <c r="AD12" i="67"/>
  <c r="M14" l="1"/>
  <c r="M11" s="1"/>
  <c r="N19" i="28"/>
  <c r="N31" i="8"/>
  <c r="O32" s="1"/>
  <c r="F31" i="28"/>
  <c r="E7" i="64" s="1"/>
  <c r="E12" s="1"/>
  <c r="F25" i="67"/>
  <c r="F24" s="1"/>
  <c r="AE12"/>
  <c r="F29" i="28" l="1"/>
  <c r="F35" s="1"/>
  <c r="F36" s="1"/>
  <c r="N14" i="67"/>
  <c r="N11" s="1"/>
  <c r="O31" i="8"/>
  <c r="F9" i="64"/>
  <c r="G15" i="8" s="1"/>
  <c r="F22" i="67"/>
  <c r="F21" s="1"/>
  <c r="F16" s="1"/>
  <c r="AF12"/>
  <c r="F37" i="28" l="1"/>
  <c r="F38" s="1"/>
  <c r="P31" i="8"/>
  <c r="Q32" s="1"/>
  <c r="O14" i="67"/>
  <c r="G16" i="8"/>
  <c r="G17" s="1"/>
  <c r="G18" s="1"/>
  <c r="G19" s="1"/>
  <c r="G19" i="67"/>
  <c r="G17" s="1"/>
  <c r="O19" i="28"/>
  <c r="P19" s="1"/>
  <c r="P32" i="8"/>
  <c r="AG12" i="67"/>
  <c r="G7" i="28" l="1"/>
  <c r="F7" i="67"/>
  <c r="F6" s="1"/>
  <c r="F5" s="1"/>
  <c r="F28" s="1"/>
  <c r="G18" i="28"/>
  <c r="G13" s="1"/>
  <c r="G20" s="1"/>
  <c r="Q31" i="8"/>
  <c r="R32" s="1"/>
  <c r="P14" i="67"/>
  <c r="O11"/>
  <c r="AH12"/>
  <c r="G26"/>
  <c r="P31" l="1"/>
  <c r="P11"/>
  <c r="Q19" i="28"/>
  <c r="R19"/>
  <c r="R31" i="8"/>
  <c r="S32" s="1"/>
  <c r="Q14" i="67"/>
  <c r="Q11" s="1"/>
  <c r="G30" i="28"/>
  <c r="S31" i="8" l="1"/>
  <c r="T32" s="1"/>
  <c r="R14" i="67"/>
  <c r="R11" s="1"/>
  <c r="G25"/>
  <c r="G31" i="28"/>
  <c r="S19" l="1"/>
  <c r="S14" i="67"/>
  <c r="S11" s="1"/>
  <c r="T31" i="8"/>
  <c r="U32" s="1"/>
  <c r="T19" i="28"/>
  <c r="F7" i="64"/>
  <c r="G24" i="67"/>
  <c r="G29" i="28"/>
  <c r="G35" s="1"/>
  <c r="T14" i="67" l="1"/>
  <c r="T11" s="1"/>
  <c r="U31" i="8"/>
  <c r="V32" s="1"/>
  <c r="U19" i="28"/>
  <c r="G36"/>
  <c r="G37"/>
  <c r="F12" i="64"/>
  <c r="V31" i="8" l="1"/>
  <c r="W32" s="1"/>
  <c r="U14" i="67"/>
  <c r="U11" s="1"/>
  <c r="G38" i="28"/>
  <c r="G9" i="64"/>
  <c r="G22" i="67"/>
  <c r="G21" s="1"/>
  <c r="G16" s="1"/>
  <c r="G7"/>
  <c r="G6" s="1"/>
  <c r="G5" s="1"/>
  <c r="H7" i="28"/>
  <c r="V19" l="1"/>
  <c r="W31" i="8"/>
  <c r="X32" s="1"/>
  <c r="W19" i="28"/>
  <c r="V14" i="67"/>
  <c r="V11" s="1"/>
  <c r="G28"/>
  <c r="H15" i="8"/>
  <c r="W14" i="67" l="1"/>
  <c r="W11" s="1"/>
  <c r="X31" i="8"/>
  <c r="Y32" s="1"/>
  <c r="X19" i="28"/>
  <c r="H16" i="8"/>
  <c r="H19" i="67"/>
  <c r="X14" l="1"/>
  <c r="X11" s="1"/>
  <c r="Y19" i="28"/>
  <c r="Y31" i="8"/>
  <c r="Z32" s="1"/>
  <c r="H17" i="67"/>
  <c r="H17" i="8"/>
  <c r="Z19" i="28" l="1"/>
  <c r="Y14" i="67"/>
  <c r="Y11" s="1"/>
  <c r="Z31" i="8"/>
  <c r="AA32" s="1"/>
  <c r="H18" i="28"/>
  <c r="H18" i="8"/>
  <c r="AA19" i="28" l="1"/>
  <c r="Z14" i="67"/>
  <c r="Z11" s="1"/>
  <c r="AA31" i="8"/>
  <c r="AB32" s="1"/>
  <c r="H19"/>
  <c r="H13" i="28"/>
  <c r="H20" s="1"/>
  <c r="AA14" i="67" l="1"/>
  <c r="AA11" s="1"/>
  <c r="AB31" i="8"/>
  <c r="H30" i="28"/>
  <c r="H26" i="67"/>
  <c r="AB14" l="1"/>
  <c r="AC31" i="8"/>
  <c r="AD32" s="1"/>
  <c r="AB19" i="28"/>
  <c r="AC19" s="1"/>
  <c r="AC32" i="8"/>
  <c r="P30" i="28"/>
  <c r="H25" i="67"/>
  <c r="H31" i="28"/>
  <c r="H29" s="1"/>
  <c r="H35" s="1"/>
  <c r="AB11" i="67" l="1"/>
  <c r="AC14"/>
  <c r="AD31" i="8"/>
  <c r="AE32" s="1"/>
  <c r="AD19" i="28"/>
  <c r="H24" i="67"/>
  <c r="I25"/>
  <c r="H37" i="28"/>
  <c r="H36"/>
  <c r="G7" i="64"/>
  <c r="P31" i="28"/>
  <c r="B31" s="1"/>
  <c r="B9" i="33" s="1"/>
  <c r="B30" i="28"/>
  <c r="AD14" i="67" l="1"/>
  <c r="AE31" i="8"/>
  <c r="AE19" i="28"/>
  <c r="AC31" i="67"/>
  <c r="AC11"/>
  <c r="P29" i="28"/>
  <c r="AI41" s="1"/>
  <c r="AT47" s="1"/>
  <c r="B29"/>
  <c r="B8" i="33"/>
  <c r="O7" i="64"/>
  <c r="B7" s="1"/>
  <c r="G12"/>
  <c r="I7" i="28"/>
  <c r="H7" i="67"/>
  <c r="H6" s="1"/>
  <c r="H5" s="1"/>
  <c r="J25"/>
  <c r="H38" i="28"/>
  <c r="AF32" i="8" l="1"/>
  <c r="AF34" s="1"/>
  <c r="AE35"/>
  <c r="AD11" i="67"/>
  <c r="AD31"/>
  <c r="AF31" i="8"/>
  <c r="AG32" s="1"/>
  <c r="AG34" s="1"/>
  <c r="AE14" i="67"/>
  <c r="AF19" i="28"/>
  <c r="B4" i="33"/>
  <c r="B5" s="1"/>
  <c r="K25" i="67"/>
  <c r="AI47" i="28"/>
  <c r="AS47"/>
  <c r="AM47"/>
  <c r="AP47"/>
  <c r="AQ47"/>
  <c r="AR47"/>
  <c r="AJ47"/>
  <c r="AN47"/>
  <c r="AL47"/>
  <c r="AK47"/>
  <c r="AO47"/>
  <c r="H9" i="64"/>
  <c r="H12"/>
  <c r="H22" i="67"/>
  <c r="H21" s="1"/>
  <c r="H16" s="1"/>
  <c r="H28" s="1"/>
  <c r="B10" i="33"/>
  <c r="D9" s="1"/>
  <c r="AF35" i="8" l="1"/>
  <c r="AG35" s="1"/>
  <c r="AF14" i="67"/>
  <c r="AG31" i="8"/>
  <c r="AH32" s="1"/>
  <c r="AH34" s="1"/>
  <c r="AE31" i="67"/>
  <c r="AE11"/>
  <c r="D8" i="33"/>
  <c r="D10" s="1"/>
  <c r="I22" i="67"/>
  <c r="I21" s="1"/>
  <c r="I12" i="64"/>
  <c r="I9"/>
  <c r="J15" i="8" s="1"/>
  <c r="J16" s="1"/>
  <c r="L25" i="67"/>
  <c r="I15" i="8"/>
  <c r="AH35" l="1"/>
  <c r="AG14" i="67"/>
  <c r="AH19" i="28"/>
  <c r="AH31" i="8"/>
  <c r="AF11" i="67"/>
  <c r="AF31"/>
  <c r="AG19" i="28"/>
  <c r="M25" i="67"/>
  <c r="I16" i="8"/>
  <c r="I19" i="67"/>
  <c r="J9" i="64"/>
  <c r="K15" i="8" s="1"/>
  <c r="K16" s="1"/>
  <c r="J22" i="67"/>
  <c r="J21" s="1"/>
  <c r="J12" i="64"/>
  <c r="AH14" i="67" l="1"/>
  <c r="B31" i="8"/>
  <c r="AG31" i="67"/>
  <c r="AG11"/>
  <c r="B32" i="8"/>
  <c r="B19" i="28"/>
  <c r="B56" i="33" s="1"/>
  <c r="J19" i="67"/>
  <c r="I17"/>
  <c r="I17" i="8"/>
  <c r="K22" i="67"/>
  <c r="K21" s="1"/>
  <c r="K9" i="64"/>
  <c r="N25" i="67"/>
  <c r="AH31" l="1"/>
  <c r="AH11"/>
  <c r="O25"/>
  <c r="I18" i="28"/>
  <c r="K19" i="67"/>
  <c r="J17"/>
  <c r="L15" i="8"/>
  <c r="L16" s="1"/>
  <c r="K8" i="64"/>
  <c r="I18" i="8"/>
  <c r="K17" i="67" l="1"/>
  <c r="L19"/>
  <c r="I13" i="28"/>
  <c r="I20" s="1"/>
  <c r="P25" i="67"/>
  <c r="I19" i="8"/>
  <c r="O8" i="64"/>
  <c r="B8" s="1"/>
  <c r="K12"/>
  <c r="Q25" i="67" l="1"/>
  <c r="I36" i="28"/>
  <c r="I37"/>
  <c r="AA10" i="64"/>
  <c r="AB34" i="28" s="1"/>
  <c r="AB32" s="1"/>
  <c r="AB35" s="1"/>
  <c r="V10" i="64"/>
  <c r="W34" i="28" s="1"/>
  <c r="W32" s="1"/>
  <c r="W35" s="1"/>
  <c r="L10" i="64"/>
  <c r="CH10"/>
  <c r="AC10"/>
  <c r="BE10"/>
  <c r="CD10"/>
  <c r="AN10"/>
  <c r="AF10"/>
  <c r="AP10"/>
  <c r="AG10"/>
  <c r="CJ10"/>
  <c r="CC10"/>
  <c r="L9"/>
  <c r="R10"/>
  <c r="S34" i="28" s="1"/>
  <c r="S32" s="1"/>
  <c r="S35" s="1"/>
  <c r="BJ10" i="64"/>
  <c r="AU10"/>
  <c r="BF10"/>
  <c r="CN10"/>
  <c r="BG10"/>
  <c r="BI10"/>
  <c r="AX10"/>
  <c r="X10"/>
  <c r="Y34" i="28" s="1"/>
  <c r="Y32" s="1"/>
  <c r="Y35" s="1"/>
  <c r="M10" i="64"/>
  <c r="N34" i="28" s="1"/>
  <c r="N32" s="1"/>
  <c r="N35" s="1"/>
  <c r="CK10" i="64"/>
  <c r="CI10"/>
  <c r="BN10"/>
  <c r="AD10"/>
  <c r="AM10"/>
  <c r="BK10"/>
  <c r="AW10"/>
  <c r="AS10"/>
  <c r="BA10"/>
  <c r="AQ10"/>
  <c r="AY10"/>
  <c r="N10"/>
  <c r="O34" i="28" s="1"/>
  <c r="O32" s="1"/>
  <c r="O35" s="1"/>
  <c r="U10" i="64"/>
  <c r="V34" i="28" s="1"/>
  <c r="V32" s="1"/>
  <c r="V35" s="1"/>
  <c r="AH10" i="64"/>
  <c r="CL10"/>
  <c r="BV10"/>
  <c r="BH10"/>
  <c r="AT10"/>
  <c r="BM10"/>
  <c r="BT10"/>
  <c r="AJ10"/>
  <c r="AL10"/>
  <c r="CM10"/>
  <c r="T10"/>
  <c r="U34" i="28" s="1"/>
  <c r="U32" s="1"/>
  <c r="U35" s="1"/>
  <c r="CF10" i="64"/>
  <c r="BL10"/>
  <c r="BP10"/>
  <c r="W10"/>
  <c r="X34" i="28" s="1"/>
  <c r="X32" s="1"/>
  <c r="X35" s="1"/>
  <c r="BX10" i="64"/>
  <c r="BQ10"/>
  <c r="AV10"/>
  <c r="BZ10"/>
  <c r="BD10"/>
  <c r="Y10"/>
  <c r="Z34" i="28" s="1"/>
  <c r="Z32" s="1"/>
  <c r="Z35" s="1"/>
  <c r="CG10" i="64"/>
  <c r="BS10"/>
  <c r="AE10"/>
  <c r="BU10"/>
  <c r="AK10"/>
  <c r="CA10"/>
  <c r="BC10"/>
  <c r="BY10"/>
  <c r="Q10"/>
  <c r="R34" i="28" s="1"/>
  <c r="R32" s="1"/>
  <c r="R35" s="1"/>
  <c r="BW10" i="64"/>
  <c r="AR10"/>
  <c r="AZ10"/>
  <c r="AI10"/>
  <c r="P10"/>
  <c r="CE10"/>
  <c r="L22" i="67"/>
  <c r="L21" s="1"/>
  <c r="Z10" i="64"/>
  <c r="AA34" i="28" s="1"/>
  <c r="AA32" s="1"/>
  <c r="AA35" s="1"/>
  <c r="S10" i="64"/>
  <c r="T34" i="28" s="1"/>
  <c r="T32" s="1"/>
  <c r="T35" s="1"/>
  <c r="BR10" i="64"/>
  <c r="I26" i="67"/>
  <c r="I24" s="1"/>
  <c r="I16" s="1"/>
  <c r="J17" i="8"/>
  <c r="L17" i="67"/>
  <c r="I38" i="28" l="1"/>
  <c r="J18"/>
  <c r="J13" s="1"/>
  <c r="J20" s="1"/>
  <c r="J36" s="1"/>
  <c r="J18" i="8"/>
  <c r="J19" s="1"/>
  <c r="Q34" i="28"/>
  <c r="AB10" i="64"/>
  <c r="M34" i="28"/>
  <c r="O10" i="64"/>
  <c r="R25" i="67"/>
  <c r="L11" i="64"/>
  <c r="M15" i="8"/>
  <c r="J7" i="28"/>
  <c r="I7" i="67"/>
  <c r="I6" s="1"/>
  <c r="I5" s="1"/>
  <c r="I28" s="1"/>
  <c r="CO10" i="64"/>
  <c r="AH34" i="28" s="1"/>
  <c r="AH32" s="1"/>
  <c r="AH35" s="1"/>
  <c r="AO10" i="64"/>
  <c r="AD34" i="28" s="1"/>
  <c r="AD32" s="1"/>
  <c r="AD35" s="1"/>
  <c r="BO10" i="64"/>
  <c r="AF34" i="28" s="1"/>
  <c r="AF32" s="1"/>
  <c r="AF35" s="1"/>
  <c r="CB10" i="64"/>
  <c r="AG34" i="28" s="1"/>
  <c r="AG32" s="1"/>
  <c r="AG35" s="1"/>
  <c r="L12" i="64"/>
  <c r="BB10"/>
  <c r="AE34" i="28" s="1"/>
  <c r="AE32" s="1"/>
  <c r="AE35" s="1"/>
  <c r="M9" i="64" l="1"/>
  <c r="M12"/>
  <c r="M22" i="67"/>
  <c r="M21" s="1"/>
  <c r="J37" i="28"/>
  <c r="M17"/>
  <c r="M19" i="67" s="1"/>
  <c r="M32" i="28"/>
  <c r="M35" s="1"/>
  <c r="P34"/>
  <c r="Q32"/>
  <c r="Q35" s="1"/>
  <c r="AC34"/>
  <c r="AC32" s="1"/>
  <c r="AC35" s="1"/>
  <c r="M16" i="8"/>
  <c r="S25" i="67"/>
  <c r="J26"/>
  <c r="J24" s="1"/>
  <c r="J16" s="1"/>
  <c r="K17" i="8"/>
  <c r="B10" i="64"/>
  <c r="A16" s="1"/>
  <c r="M17" i="67" l="1"/>
  <c r="B34" i="28"/>
  <c r="B32" s="1"/>
  <c r="B35" s="1"/>
  <c r="P32"/>
  <c r="P35" s="1"/>
  <c r="J7" i="67"/>
  <c r="J6" s="1"/>
  <c r="J5" s="1"/>
  <c r="J28" s="1"/>
  <c r="K7" i="28"/>
  <c r="N15" i="8"/>
  <c r="N16" s="1"/>
  <c r="M11" i="64"/>
  <c r="K18" i="28"/>
  <c r="K13" s="1"/>
  <c r="K20" s="1"/>
  <c r="K36" s="1"/>
  <c r="K18" i="8"/>
  <c r="K19" s="1"/>
  <c r="T25" i="67"/>
  <c r="N9" i="64"/>
  <c r="N22" i="67"/>
  <c r="N21" s="1"/>
  <c r="N12" i="64"/>
  <c r="J38" i="28"/>
  <c r="K26" i="67" l="1"/>
  <c r="K24" s="1"/>
  <c r="K16" s="1"/>
  <c r="L17" i="8"/>
  <c r="N17" i="28"/>
  <c r="O22" i="67"/>
  <c r="O21" s="1"/>
  <c r="O12" i="64"/>
  <c r="O15" i="8"/>
  <c r="N11" i="64"/>
  <c r="O17" i="28" s="1"/>
  <c r="O9" i="64"/>
  <c r="U25" i="67"/>
  <c r="K37" i="28"/>
  <c r="N19" i="67"/>
  <c r="K7" l="1"/>
  <c r="K6" s="1"/>
  <c r="K5" s="1"/>
  <c r="K28" s="1"/>
  <c r="L7" i="28"/>
  <c r="V25" i="67"/>
  <c r="P9" i="64"/>
  <c r="P12"/>
  <c r="P22" i="67"/>
  <c r="P21" s="1"/>
  <c r="L18" i="28"/>
  <c r="L13" s="1"/>
  <c r="L20" s="1"/>
  <c r="L36" s="1"/>
  <c r="L18" i="8"/>
  <c r="L19" s="1"/>
  <c r="O19" i="67"/>
  <c r="N17"/>
  <c r="O16" i="8"/>
  <c r="P15"/>
  <c r="P17" i="28"/>
  <c r="O11" i="64"/>
  <c r="K38" i="28"/>
  <c r="B7" i="61" l="1"/>
  <c r="L26" i="67"/>
  <c r="L24" s="1"/>
  <c r="L16" s="1"/>
  <c r="M17" i="8"/>
  <c r="P11" i="64"/>
  <c r="Q15" i="8"/>
  <c r="W25" i="67"/>
  <c r="P16" i="8"/>
  <c r="P19" i="67"/>
  <c r="O17"/>
  <c r="Q12" i="64"/>
  <c r="Q22" i="67"/>
  <c r="Q21" s="1"/>
  <c r="Q9" i="64"/>
  <c r="L37" i="28"/>
  <c r="L7" i="67" l="1"/>
  <c r="L6" s="1"/>
  <c r="L5" s="1"/>
  <c r="L28" s="1"/>
  <c r="M7" i="28"/>
  <c r="X25" i="67"/>
  <c r="Q16" i="8"/>
  <c r="M18" i="28"/>
  <c r="M13" s="1"/>
  <c r="M20" s="1"/>
  <c r="M36" s="1"/>
  <c r="M18" i="8"/>
  <c r="M19" s="1"/>
  <c r="B6" i="61"/>
  <c r="B5" s="1"/>
  <c r="B11"/>
  <c r="B12" s="1"/>
  <c r="B13" s="1"/>
  <c r="Q11" i="64"/>
  <c r="R17" i="28" s="1"/>
  <c r="R15" i="8"/>
  <c r="R16" s="1"/>
  <c r="R9" i="64"/>
  <c r="R12"/>
  <c r="R22" i="67"/>
  <c r="R21" s="1"/>
  <c r="P17"/>
  <c r="P33" s="1"/>
  <c r="P34" s="1"/>
  <c r="Q17" i="28"/>
  <c r="L38"/>
  <c r="S15" i="8" l="1"/>
  <c r="R11" i="64"/>
  <c r="S17" i="28" s="1"/>
  <c r="S22" i="67"/>
  <c r="S21" s="1"/>
  <c r="S12" i="64"/>
  <c r="S9"/>
  <c r="M26" i="67"/>
  <c r="M24" s="1"/>
  <c r="M16" s="1"/>
  <c r="N17" i="8"/>
  <c r="Y25" i="67"/>
  <c r="M37" i="28"/>
  <c r="M38" s="1"/>
  <c r="Q19" i="67"/>
  <c r="T15" i="8" l="1"/>
  <c r="T16" s="1"/>
  <c r="S11" i="64"/>
  <c r="S16" i="8"/>
  <c r="Q17" i="67"/>
  <c r="R19"/>
  <c r="M7"/>
  <c r="M6" s="1"/>
  <c r="M5" s="1"/>
  <c r="M28" s="1"/>
  <c r="N7" i="28"/>
  <c r="Z25" i="67"/>
  <c r="N18" i="28"/>
  <c r="N13" s="1"/>
  <c r="N20" s="1"/>
  <c r="N36" s="1"/>
  <c r="N18" i="8"/>
  <c r="N19" s="1"/>
  <c r="T12" i="64"/>
  <c r="T22" i="67"/>
  <c r="T21" s="1"/>
  <c r="T9" i="64"/>
  <c r="N26" i="67" l="1"/>
  <c r="N24" s="1"/>
  <c r="N16" s="1"/>
  <c r="O17" i="8"/>
  <c r="N37" i="28"/>
  <c r="N38" s="1"/>
  <c r="S19" i="67"/>
  <c r="R17"/>
  <c r="U15" i="8"/>
  <c r="T11" i="64"/>
  <c r="U17" i="28" s="1"/>
  <c r="U9" i="64"/>
  <c r="U22" i="67"/>
  <c r="U21" s="1"/>
  <c r="U12" i="64"/>
  <c r="AA25" i="67"/>
  <c r="T17" i="28"/>
  <c r="O18" l="1"/>
  <c r="P17" i="8"/>
  <c r="O18"/>
  <c r="AB25" i="67"/>
  <c r="V12" i="64"/>
  <c r="V22" i="67"/>
  <c r="V21" s="1"/>
  <c r="V9" i="64"/>
  <c r="U11"/>
  <c r="V15" i="8"/>
  <c r="V16" s="1"/>
  <c r="U16"/>
  <c r="T19" i="67"/>
  <c r="S17"/>
  <c r="N7"/>
  <c r="N6" s="1"/>
  <c r="N5" s="1"/>
  <c r="N28" s="1"/>
  <c r="O7" i="28"/>
  <c r="V17" l="1"/>
  <c r="AC25" i="67"/>
  <c r="P18" i="8"/>
  <c r="O19"/>
  <c r="P18" i="28"/>
  <c r="O13"/>
  <c r="O20" s="1"/>
  <c r="O36" s="1"/>
  <c r="T17" i="67"/>
  <c r="U19"/>
  <c r="V11" i="64"/>
  <c r="W17" i="28" s="1"/>
  <c r="W15" i="8"/>
  <c r="W22" i="67"/>
  <c r="W21" s="1"/>
  <c r="W9" i="64"/>
  <c r="W12"/>
  <c r="O37" i="28" l="1"/>
  <c r="O38" s="1"/>
  <c r="X15" i="8"/>
  <c r="X16" s="1"/>
  <c r="W11" i="64"/>
  <c r="X17" i="28" s="1"/>
  <c r="W16" i="8"/>
  <c r="P13" i="28"/>
  <c r="AD25" i="67"/>
  <c r="P37" i="28"/>
  <c r="X22" i="67"/>
  <c r="X21" s="1"/>
  <c r="X12" i="64"/>
  <c r="X9"/>
  <c r="V19" i="67"/>
  <c r="U17"/>
  <c r="O26"/>
  <c r="O24" s="1"/>
  <c r="O16" s="1"/>
  <c r="P19" i="8"/>
  <c r="O7" i="67" l="1"/>
  <c r="O6" s="1"/>
  <c r="O5" s="1"/>
  <c r="O28" s="1"/>
  <c r="W19"/>
  <c r="V17"/>
  <c r="Y22"/>
  <c r="Y21" s="1"/>
  <c r="Y9" i="64"/>
  <c r="Y12"/>
  <c r="P20" i="28"/>
  <c r="P36" s="1"/>
  <c r="P26" i="67"/>
  <c r="Q17" i="8"/>
  <c r="X11" i="64"/>
  <c r="Y17" i="28" s="1"/>
  <c r="Y15" i="8"/>
  <c r="Q7" i="28"/>
  <c r="P7" i="67"/>
  <c r="P6" s="1"/>
  <c r="P5" s="1"/>
  <c r="AE25"/>
  <c r="AC7" i="28" l="1"/>
  <c r="P30" i="67"/>
  <c r="P37" s="1"/>
  <c r="P24"/>
  <c r="P16" s="1"/>
  <c r="P28" s="1"/>
  <c r="AI39" i="28"/>
  <c r="AI40" s="1"/>
  <c r="P39" i="67"/>
  <c r="P38" i="28"/>
  <c r="Z9" i="64"/>
  <c r="Z12"/>
  <c r="Z22" i="67"/>
  <c r="Z21" s="1"/>
  <c r="X19"/>
  <c r="W17"/>
  <c r="AF25"/>
  <c r="Y16" i="8"/>
  <c r="Q18" i="28"/>
  <c r="Q18" i="8"/>
  <c r="Y11" i="64"/>
  <c r="Z17" i="28" s="1"/>
  <c r="Z15" i="8"/>
  <c r="Z16" s="1"/>
  <c r="Q19" l="1"/>
  <c r="Q13" i="28"/>
  <c r="Q20" s="1"/>
  <c r="X17" i="67"/>
  <c r="Y19"/>
  <c r="AA22"/>
  <c r="AA21" s="1"/>
  <c r="AA9" i="64"/>
  <c r="AA12"/>
  <c r="AI42" i="28"/>
  <c r="AI46"/>
  <c r="AG25" i="67"/>
  <c r="AA15" i="8"/>
  <c r="AA16" s="1"/>
  <c r="Z11" i="64"/>
  <c r="AA17" i="28" s="1"/>
  <c r="P40" i="67"/>
  <c r="AH25" l="1"/>
  <c r="AG50" i="28"/>
  <c r="AI43"/>
  <c r="AI45" s="1"/>
  <c r="AI44"/>
  <c r="AI50"/>
  <c r="AB15" i="8"/>
  <c r="AA11" i="64"/>
  <c r="AB9"/>
  <c r="Z19" i="67"/>
  <c r="Y17"/>
  <c r="AI49" i="28"/>
  <c r="AI48"/>
  <c r="AB22" i="67"/>
  <c r="AB21" s="1"/>
  <c r="AB12" i="64"/>
  <c r="Q36" i="28"/>
  <c r="Q37"/>
  <c r="Q26" i="67"/>
  <c r="Q24" s="1"/>
  <c r="Q16" s="1"/>
  <c r="R17" i="8"/>
  <c r="Q38" i="28" l="1"/>
  <c r="R18"/>
  <c r="R18" i="8"/>
  <c r="AA19" i="67"/>
  <c r="Z17"/>
  <c r="AB17" i="28"/>
  <c r="AB11" i="64"/>
  <c r="R7" i="28"/>
  <c r="Q7" i="67"/>
  <c r="Q6" s="1"/>
  <c r="Q5" s="1"/>
  <c r="Q28" s="1"/>
  <c r="AC12" i="64"/>
  <c r="AC22" i="67"/>
  <c r="AC21" s="1"/>
  <c r="AC9" i="64"/>
  <c r="AB16" i="8"/>
  <c r="AC15"/>
  <c r="C7" i="61" l="1"/>
  <c r="AC11" i="64"/>
  <c r="AD9"/>
  <c r="AD11" s="1"/>
  <c r="AD12"/>
  <c r="R13" i="28"/>
  <c r="R20" s="1"/>
  <c r="AC16" i="8"/>
  <c r="AC17" i="28"/>
  <c r="AA17" i="67"/>
  <c r="AB19"/>
  <c r="R19" i="8"/>
  <c r="R26" i="67" l="1"/>
  <c r="R24" s="1"/>
  <c r="R16" s="1"/>
  <c r="S17" i="8"/>
  <c r="AC19" i="67"/>
  <c r="AB17"/>
  <c r="R36" i="28"/>
  <c r="R37"/>
  <c r="C11" i="61"/>
  <c r="C12" s="1"/>
  <c r="C13" s="1"/>
  <c r="C6"/>
  <c r="C5" s="1"/>
  <c r="AE9" i="64"/>
  <c r="AE11" s="1"/>
  <c r="AE12"/>
  <c r="AF9" l="1"/>
  <c r="AF12"/>
  <c r="R7" i="67"/>
  <c r="R6" s="1"/>
  <c r="R5" s="1"/>
  <c r="R28" s="1"/>
  <c r="S7" i="28"/>
  <c r="S18"/>
  <c r="S18" i="8"/>
  <c r="AC17" i="67"/>
  <c r="AC33" s="1"/>
  <c r="AC34" s="1"/>
  <c r="R38" i="28"/>
  <c r="S19" i="8" l="1"/>
  <c r="AF11" i="64"/>
  <c r="S13" i="28"/>
  <c r="S20" s="1"/>
  <c r="AG9" i="64"/>
  <c r="AG11" s="1"/>
  <c r="AG12"/>
  <c r="S36" i="28" l="1"/>
  <c r="S37"/>
  <c r="AH9" i="64"/>
  <c r="AH11" s="1"/>
  <c r="AH12"/>
  <c r="S26" i="67"/>
  <c r="S24" s="1"/>
  <c r="S16" s="1"/>
  <c r="T17" i="8"/>
  <c r="S38" i="28" l="1"/>
  <c r="T18"/>
  <c r="T18" i="8"/>
  <c r="AI12" i="64"/>
  <c r="AI9"/>
  <c r="S7" i="67"/>
  <c r="S6" s="1"/>
  <c r="S5" s="1"/>
  <c r="S28" s="1"/>
  <c r="T7" i="28"/>
  <c r="AJ12" i="64" l="1"/>
  <c r="AJ9"/>
  <c r="AJ11" s="1"/>
  <c r="T19" i="8"/>
  <c r="AI11" i="64"/>
  <c r="T13" i="28"/>
  <c r="T20" s="1"/>
  <c r="T36" l="1"/>
  <c r="T37"/>
  <c r="AK12" i="64"/>
  <c r="AK9"/>
  <c r="AK11" s="1"/>
  <c r="T26" i="67"/>
  <c r="T24" s="1"/>
  <c r="T16" s="1"/>
  <c r="U17" i="8"/>
  <c r="T38" i="28" l="1"/>
  <c r="U18"/>
  <c r="U18" i="8"/>
  <c r="AL9" i="64"/>
  <c r="AL11" s="1"/>
  <c r="AL12"/>
  <c r="T7" i="67"/>
  <c r="T6" s="1"/>
  <c r="T5" s="1"/>
  <c r="T28" s="1"/>
  <c r="U7" i="28"/>
  <c r="AM9" i="64" l="1"/>
  <c r="AM11" s="1"/>
  <c r="AM12"/>
  <c r="U13" i="28"/>
  <c r="U20" s="1"/>
  <c r="U19" i="8"/>
  <c r="U36" i="28" l="1"/>
  <c r="U37"/>
  <c r="U26" i="67"/>
  <c r="U24" s="1"/>
  <c r="U16" s="1"/>
  <c r="V17" i="8"/>
  <c r="AN12" i="64"/>
  <c r="AO12" s="1"/>
  <c r="AN9"/>
  <c r="U38" i="28" l="1"/>
  <c r="AN11" i="64"/>
  <c r="AO11" s="1"/>
  <c r="AO9"/>
  <c r="V18" i="28"/>
  <c r="V13" s="1"/>
  <c r="V20" s="1"/>
  <c r="V36" s="1"/>
  <c r="V18" i="8"/>
  <c r="V19" s="1"/>
  <c r="AP9" i="64"/>
  <c r="AP12"/>
  <c r="AD22" i="67"/>
  <c r="AD21" s="1"/>
  <c r="U7"/>
  <c r="U6" s="1"/>
  <c r="U5" s="1"/>
  <c r="U28" s="1"/>
  <c r="V7" i="28"/>
  <c r="AP11" i="64" l="1"/>
  <c r="AD17" i="28"/>
  <c r="AQ12" i="64"/>
  <c r="AQ9"/>
  <c r="AQ11" s="1"/>
  <c r="V26" i="67"/>
  <c r="V24" s="1"/>
  <c r="V16" s="1"/>
  <c r="W17" i="8"/>
  <c r="AD15"/>
  <c r="V37" i="28"/>
  <c r="V7" i="67" l="1"/>
  <c r="V6" s="1"/>
  <c r="V5" s="1"/>
  <c r="V28" s="1"/>
  <c r="W7" i="28"/>
  <c r="W18"/>
  <c r="W13" s="1"/>
  <c r="W20" s="1"/>
  <c r="W36" s="1"/>
  <c r="W18" i="8"/>
  <c r="W19" s="1"/>
  <c r="AR9" i="64"/>
  <c r="AR11" s="1"/>
  <c r="AR12"/>
  <c r="D7" i="61"/>
  <c r="AD16" i="8"/>
  <c r="AD19" i="67"/>
  <c r="V38" i="28"/>
  <c r="AD17" i="67" l="1"/>
  <c r="AD33" s="1"/>
  <c r="AD34" s="1"/>
  <c r="AS12" i="64"/>
  <c r="AS9"/>
  <c r="W26" i="67"/>
  <c r="W24" s="1"/>
  <c r="W16" s="1"/>
  <c r="X17" i="8"/>
  <c r="D6" i="61"/>
  <c r="D5" s="1"/>
  <c r="D11"/>
  <c r="D12" s="1"/>
  <c r="D13" s="1"/>
  <c r="W37" i="28"/>
  <c r="W38" s="1"/>
  <c r="AS11" i="64" l="1"/>
  <c r="W7" i="67"/>
  <c r="W6" s="1"/>
  <c r="W5" s="1"/>
  <c r="W28" s="1"/>
  <c r="X7" i="28"/>
  <c r="X18"/>
  <c r="X13" s="1"/>
  <c r="X20" s="1"/>
  <c r="X36" s="1"/>
  <c r="X18" i="8"/>
  <c r="X19" s="1"/>
  <c r="AT9" i="64"/>
  <c r="AT11" s="1"/>
  <c r="AT12"/>
  <c r="X37" i="28" l="1"/>
  <c r="Y7" s="1"/>
  <c r="AU12" i="64"/>
  <c r="AU9"/>
  <c r="AU11" s="1"/>
  <c r="X26" i="67"/>
  <c r="X24" s="1"/>
  <c r="X16" s="1"/>
  <c r="Y17" i="8"/>
  <c r="X7" i="67" l="1"/>
  <c r="X6" s="1"/>
  <c r="X5" s="1"/>
  <c r="X28" s="1"/>
  <c r="X38" i="28"/>
  <c r="Y18"/>
  <c r="Y13" s="1"/>
  <c r="Y20" s="1"/>
  <c r="Y18" i="8"/>
  <c r="Y19" s="1"/>
  <c r="AV9" i="64"/>
  <c r="AV12"/>
  <c r="AV11" l="1"/>
  <c r="Y36" i="28"/>
  <c r="Y37"/>
  <c r="AW9" i="64"/>
  <c r="AW11" s="1"/>
  <c r="AW12"/>
  <c r="Y26" i="67"/>
  <c r="Y24" s="1"/>
  <c r="Y16" s="1"/>
  <c r="Z17" i="8"/>
  <c r="Y38" i="28" l="1"/>
  <c r="Z18"/>
  <c r="Z13" s="1"/>
  <c r="Z20" s="1"/>
  <c r="Z36" s="1"/>
  <c r="Z18" i="8"/>
  <c r="Z19" s="1"/>
  <c r="AX9" i="64"/>
  <c r="AX11" s="1"/>
  <c r="AX12"/>
  <c r="Y7" i="67"/>
  <c r="Y6" s="1"/>
  <c r="Y5" s="1"/>
  <c r="Y28" s="1"/>
  <c r="Z7" i="28"/>
  <c r="Z37" l="1"/>
  <c r="Z7" i="67" s="1"/>
  <c r="Z6" s="1"/>
  <c r="Z5" s="1"/>
  <c r="AY9" i="64"/>
  <c r="AY11" s="1"/>
  <c r="AY12"/>
  <c r="Z26" i="67"/>
  <c r="Z24" s="1"/>
  <c r="Z16" s="1"/>
  <c r="AA17" i="8"/>
  <c r="Z38" i="28" l="1"/>
  <c r="AA7"/>
  <c r="AZ9" i="64"/>
  <c r="AZ11" s="1"/>
  <c r="AZ12"/>
  <c r="AA18" i="28"/>
  <c r="AA13" s="1"/>
  <c r="AA20" s="1"/>
  <c r="AA18" i="8"/>
  <c r="AA19" s="1"/>
  <c r="Z28" i="67"/>
  <c r="AA36" i="28" l="1"/>
  <c r="AA37"/>
  <c r="AA26" i="67"/>
  <c r="AA24" s="1"/>
  <c r="AA16" s="1"/>
  <c r="AB17" i="8"/>
  <c r="BA9" i="64"/>
  <c r="BA12"/>
  <c r="BB12" s="1"/>
  <c r="AA38" i="28" l="1"/>
  <c r="BC12" i="64"/>
  <c r="AE22" i="67"/>
  <c r="AE21" s="1"/>
  <c r="BC9" i="64"/>
  <c r="AB18" i="28"/>
  <c r="AB18" i="8"/>
  <c r="AC17"/>
  <c r="BA11" i="64"/>
  <c r="BB11" s="1"/>
  <c r="BB9"/>
  <c r="AB7" i="28"/>
  <c r="AA7" i="67"/>
  <c r="AA6" s="1"/>
  <c r="AA5" s="1"/>
  <c r="AA28" s="1"/>
  <c r="BD9" i="64" l="1"/>
  <c r="BD11" s="1"/>
  <c r="BD12"/>
  <c r="AE17" i="28"/>
  <c r="AC18" i="8"/>
  <c r="AB19"/>
  <c r="BC11" i="64"/>
  <c r="AE15" i="8"/>
  <c r="AB13" i="28"/>
  <c r="AB20" s="1"/>
  <c r="AC18"/>
  <c r="AB36" l="1"/>
  <c r="AB37"/>
  <c r="E7" i="61"/>
  <c r="AE16" i="8"/>
  <c r="AE19" i="67"/>
  <c r="AC13" i="28"/>
  <c r="AC19" i="8"/>
  <c r="AB26" i="67"/>
  <c r="AB24" s="1"/>
  <c r="AB16" s="1"/>
  <c r="BE12" i="64"/>
  <c r="BE9"/>
  <c r="BE11" s="1"/>
  <c r="AB38" i="28" l="1"/>
  <c r="BF12" i="64"/>
  <c r="BF9"/>
  <c r="AC26" i="67"/>
  <c r="AD17" i="8"/>
  <c r="E11" i="61"/>
  <c r="E12" s="1"/>
  <c r="E13" s="1"/>
  <c r="E6"/>
  <c r="E5" s="1"/>
  <c r="AC20" i="28"/>
  <c r="AC36" s="1"/>
  <c r="AE17" i="67"/>
  <c r="AE33" s="1"/>
  <c r="AE34" s="1"/>
  <c r="AB7"/>
  <c r="AB6" s="1"/>
  <c r="AB5" s="1"/>
  <c r="AB28" s="1"/>
  <c r="AC37" i="28"/>
  <c r="AD18" l="1"/>
  <c r="AD18" i="8"/>
  <c r="BG12" i="64"/>
  <c r="BG9"/>
  <c r="BG11" s="1"/>
  <c r="AD7" i="28"/>
  <c r="AC7" i="67"/>
  <c r="AC6" s="1"/>
  <c r="AC5" s="1"/>
  <c r="AJ39" i="28"/>
  <c r="AJ40" s="1"/>
  <c r="AC39" i="67"/>
  <c r="AC38" i="28"/>
  <c r="AC30" i="67"/>
  <c r="AC37" s="1"/>
  <c r="AC24"/>
  <c r="AC16" s="1"/>
  <c r="BF11" i="64"/>
  <c r="AJ42" i="28" l="1"/>
  <c r="AJ46"/>
  <c r="AD13"/>
  <c r="BH12" i="64"/>
  <c r="BH9"/>
  <c r="AD19" i="8"/>
  <c r="AC40" i="67"/>
  <c r="AC28"/>
  <c r="AD26" l="1"/>
  <c r="AE17" i="8"/>
  <c r="BH11" i="64"/>
  <c r="AJ43" i="28"/>
  <c r="AJ45" s="1"/>
  <c r="AJ50"/>
  <c r="AH50"/>
  <c r="AJ44"/>
  <c r="BI9" i="64"/>
  <c r="BI11" s="1"/>
  <c r="BI12"/>
  <c r="AD20" i="28"/>
  <c r="AJ48"/>
  <c r="AJ49"/>
  <c r="AD36" l="1"/>
  <c r="AD37"/>
  <c r="AE18"/>
  <c r="AE18" i="8"/>
  <c r="AD30" i="67"/>
  <c r="AD37" s="1"/>
  <c r="AD24"/>
  <c r="AD16" s="1"/>
  <c r="BJ12" i="64"/>
  <c r="BJ9"/>
  <c r="BJ11" s="1"/>
  <c r="AE13" i="28" l="1"/>
  <c r="AK39"/>
  <c r="AK40" s="1"/>
  <c r="AD39" i="67"/>
  <c r="AD40" s="1"/>
  <c r="AD38" i="28"/>
  <c r="BK9" i="64"/>
  <c r="BK11" s="1"/>
  <c r="BK12"/>
  <c r="AE19" i="8"/>
  <c r="AE26" i="67" s="1"/>
  <c r="AE7" i="28"/>
  <c r="AD7" i="67"/>
  <c r="AD6" s="1"/>
  <c r="AD5" s="1"/>
  <c r="AD28" s="1"/>
  <c r="BL12" i="64" l="1"/>
  <c r="BL9"/>
  <c r="BL11" s="1"/>
  <c r="AK42" i="28"/>
  <c r="AK46"/>
  <c r="AE20"/>
  <c r="AE36" l="1"/>
  <c r="AE37"/>
  <c r="AK43"/>
  <c r="AK45" s="1"/>
  <c r="AK50"/>
  <c r="AK44"/>
  <c r="BM12" i="64"/>
  <c r="BM9"/>
  <c r="BM11" s="1"/>
  <c r="AE30" i="67"/>
  <c r="AE37" s="1"/>
  <c r="AE24"/>
  <c r="AE16" s="1"/>
  <c r="AK48" i="28"/>
  <c r="AK49"/>
  <c r="AL39" l="1"/>
  <c r="AL40" s="1"/>
  <c r="AE39" i="67"/>
  <c r="AE40" s="1"/>
  <c r="AE38" i="28"/>
  <c r="BN12" i="64"/>
  <c r="BO12" s="1"/>
  <c r="BN9"/>
  <c r="AF7" i="28"/>
  <c r="AE7" i="67"/>
  <c r="AE6" s="1"/>
  <c r="AE5" s="1"/>
  <c r="AE28" s="1"/>
  <c r="AF22" l="1"/>
  <c r="AF21" s="1"/>
  <c r="BP9" i="64"/>
  <c r="BP12"/>
  <c r="CP12"/>
  <c r="AL42" i="28"/>
  <c r="AL46"/>
  <c r="BN11" i="64"/>
  <c r="BO11" s="1"/>
  <c r="BO9"/>
  <c r="AF17" i="28" l="1"/>
  <c r="AL49"/>
  <c r="AL48"/>
  <c r="AL43"/>
  <c r="AL45" s="1"/>
  <c r="AL50"/>
  <c r="AL44"/>
  <c r="BQ12" i="64"/>
  <c r="BQ9"/>
  <c r="BQ11" s="1"/>
  <c r="AF15" i="8"/>
  <c r="BP11" i="64"/>
  <c r="F7" i="61" l="1"/>
  <c r="AF16" i="8"/>
  <c r="AF19" i="67"/>
  <c r="BR12" i="64"/>
  <c r="BR9"/>
  <c r="BR11" s="1"/>
  <c r="BS9" l="1"/>
  <c r="BS12"/>
  <c r="F6" i="61"/>
  <c r="F5" s="1"/>
  <c r="F11"/>
  <c r="F12" s="1"/>
  <c r="F13" s="1"/>
  <c r="AF17" i="67"/>
  <c r="AF33" s="1"/>
  <c r="AF34" s="1"/>
  <c r="AF17" i="8"/>
  <c r="AF18" s="1"/>
  <c r="AF19" l="1"/>
  <c r="AF26" i="67" s="1"/>
  <c r="BS11" i="64"/>
  <c r="AF18" i="28"/>
  <c r="BT9" i="64"/>
  <c r="BT11" s="1"/>
  <c r="BT12"/>
  <c r="AF13" i="28" l="1"/>
  <c r="BU9" i="64"/>
  <c r="BU11" s="1"/>
  <c r="BU12"/>
  <c r="AF30" i="67" l="1"/>
  <c r="AF37" s="1"/>
  <c r="AF24"/>
  <c r="BV9" i="64"/>
  <c r="BV11" s="1"/>
  <c r="BV12"/>
  <c r="AF20" i="28"/>
  <c r="AF36" l="1"/>
  <c r="AF37"/>
  <c r="BW9" i="64"/>
  <c r="BW11" s="1"/>
  <c r="BW12"/>
  <c r="B24" i="33"/>
  <c r="AF16" i="67"/>
  <c r="AM39" i="28" l="1"/>
  <c r="AM40" s="1"/>
  <c r="AF39" i="67"/>
  <c r="AF40" s="1"/>
  <c r="AF38" i="28"/>
  <c r="BX12" i="64"/>
  <c r="BX9"/>
  <c r="BX11" s="1"/>
  <c r="AG7" i="28"/>
  <c r="AF7" i="67"/>
  <c r="AF6" s="1"/>
  <c r="AF5" s="1"/>
  <c r="AF28" s="1"/>
  <c r="A2" i="28"/>
  <c r="AM42" l="1"/>
  <c r="AM46"/>
  <c r="BY9" i="64"/>
  <c r="BY11" s="1"/>
  <c r="BY12"/>
  <c r="AM43" i="28" l="1"/>
  <c r="AM45" s="1"/>
  <c r="AM50"/>
  <c r="AM44"/>
  <c r="BZ12" i="64"/>
  <c r="BZ9"/>
  <c r="BZ11" s="1"/>
  <c r="AM48" i="28"/>
  <c r="AM49"/>
  <c r="CA12" i="64" l="1"/>
  <c r="CB12" s="1"/>
  <c r="CA9"/>
  <c r="CC12" l="1"/>
  <c r="AG22" i="67"/>
  <c r="AG21" s="1"/>
  <c r="CC9" i="64"/>
  <c r="CA11"/>
  <c r="CB11" s="1"/>
  <c r="CB9"/>
  <c r="AG15" i="8" l="1"/>
  <c r="CC11" i="64"/>
  <c r="CD9"/>
  <c r="CD11" s="1"/>
  <c r="CD12"/>
  <c r="AG17" i="28"/>
  <c r="CE9" i="64" l="1"/>
  <c r="CE12"/>
  <c r="G7" i="61"/>
  <c r="AG16" i="8"/>
  <c r="AG19" i="67"/>
  <c r="G6" i="61" l="1"/>
  <c r="G5" s="1"/>
  <c r="G11"/>
  <c r="G12" s="1"/>
  <c r="G13" s="1"/>
  <c r="CE11" i="64"/>
  <c r="AG17" i="67"/>
  <c r="AG33" s="1"/>
  <c r="AG34" s="1"/>
  <c r="AG17" i="8"/>
  <c r="CF12" i="64"/>
  <c r="CF9"/>
  <c r="CF11" s="1"/>
  <c r="AG18" i="28" l="1"/>
  <c r="CG9" i="64"/>
  <c r="CG11" s="1"/>
  <c r="CG12"/>
  <c r="AG18" i="8"/>
  <c r="CH12" i="64" l="1"/>
  <c r="CH9"/>
  <c r="AG19" i="8"/>
  <c r="AG26" i="67" s="1"/>
  <c r="AG13" i="28"/>
  <c r="AG20" l="1"/>
  <c r="CH11" i="64"/>
  <c r="CI9"/>
  <c r="CI11" s="1"/>
  <c r="CI12"/>
  <c r="CJ9" l="1"/>
  <c r="CJ12"/>
  <c r="AG30" i="67"/>
  <c r="AG37" s="1"/>
  <c r="AG24"/>
  <c r="AG16" s="1"/>
  <c r="AG36" i="28"/>
  <c r="AG37"/>
  <c r="AG7" i="67" l="1"/>
  <c r="AG6" s="1"/>
  <c r="AG5" s="1"/>
  <c r="AG28" s="1"/>
  <c r="AH7" i="28"/>
  <c r="AN39"/>
  <c r="AN40" s="1"/>
  <c r="AG39" i="67"/>
  <c r="AG40" s="1"/>
  <c r="AG38" i="28"/>
  <c r="CJ11" i="64"/>
  <c r="CK9"/>
  <c r="CK11" s="1"/>
  <c r="CK12"/>
  <c r="CL9" l="1"/>
  <c r="CL11" s="1"/>
  <c r="CL12"/>
  <c r="AN42" i="28"/>
  <c r="AN46"/>
  <c r="AN43" l="1"/>
  <c r="AN45" s="1"/>
  <c r="AN50"/>
  <c r="AN44"/>
  <c r="AN48"/>
  <c r="AN49"/>
  <c r="CM9" i="64"/>
  <c r="CM11" s="1"/>
  <c r="CM12"/>
  <c r="CN12" l="1"/>
  <c r="CO12" s="1"/>
  <c r="CN9"/>
  <c r="AH22" i="67" l="1"/>
  <c r="AH21" s="1"/>
  <c r="B12" i="64"/>
  <c r="CN11"/>
  <c r="CO11" s="1"/>
  <c r="CO9"/>
  <c r="AH17" i="28" l="1"/>
  <c r="B11" i="64"/>
  <c r="AH15" i="8"/>
  <c r="B9" i="64"/>
  <c r="A17" l="1"/>
  <c r="H7" i="61"/>
  <c r="AH16" i="8"/>
  <c r="B15"/>
  <c r="AH19" i="67"/>
  <c r="AH17" s="1"/>
  <c r="AH33" s="1"/>
  <c r="AH34" s="1"/>
  <c r="B17" i="28"/>
  <c r="H11" i="61" l="1"/>
  <c r="H12" s="1"/>
  <c r="H13" s="1"/>
  <c r="H6"/>
  <c r="H5" s="1"/>
  <c r="AH17" i="8"/>
  <c r="B16"/>
  <c r="AH18" i="28" l="1"/>
  <c r="B17" i="8"/>
  <c r="AH18"/>
  <c r="B20" i="33" l="1"/>
  <c r="B18" i="8"/>
  <c r="AH19"/>
  <c r="AH26" i="67" s="1"/>
  <c r="B18" i="28"/>
  <c r="B57" i="33" s="1"/>
  <c r="B60" s="1"/>
  <c r="AH13" i="28"/>
  <c r="AH20" l="1"/>
  <c r="B13"/>
  <c r="B20" s="1"/>
  <c r="B19" i="8"/>
  <c r="AH36" i="28" l="1"/>
  <c r="AH37"/>
  <c r="AH30" i="67"/>
  <c r="AH37" s="1"/>
  <c r="AH24"/>
  <c r="AH16" s="1"/>
  <c r="B21" i="33" s="1"/>
  <c r="B36" i="28"/>
  <c r="B37"/>
  <c r="AH39" i="67" l="1"/>
  <c r="AH40" s="1"/>
  <c r="AO39" i="28"/>
  <c r="AP39" s="1"/>
  <c r="AH38"/>
  <c r="B38"/>
  <c r="B39" s="1"/>
  <c r="AH7" i="67"/>
  <c r="AH6" s="1"/>
  <c r="B2" i="28"/>
  <c r="I21" i="53" l="1"/>
  <c r="N3" i="63"/>
  <c r="O3" i="69"/>
  <c r="M4" i="65"/>
  <c r="AO40" i="28"/>
  <c r="AH5" i="67"/>
  <c r="AH28" l="1"/>
  <c r="B23" i="33"/>
  <c r="AQ39" i="28"/>
  <c r="AP40"/>
  <c r="AO42"/>
  <c r="AO46"/>
  <c r="AO49" l="1"/>
  <c r="AO48"/>
  <c r="AO43"/>
  <c r="AO50"/>
  <c r="AO44"/>
  <c r="B51" s="1"/>
  <c r="B28" i="33" s="1"/>
  <c r="AR39" i="28"/>
  <c r="AQ40"/>
  <c r="AP42"/>
  <c r="AP46"/>
  <c r="AO45" l="1"/>
  <c r="AP43"/>
  <c r="AP50"/>
  <c r="AR40"/>
  <c r="AS39"/>
  <c r="AP49"/>
  <c r="AP48"/>
  <c r="AQ42"/>
  <c r="AQ46"/>
  <c r="AP44"/>
  <c r="AS40" l="1"/>
  <c r="AT39"/>
  <c r="AT40" s="1"/>
  <c r="AP45"/>
  <c r="AQ44"/>
  <c r="AQ43"/>
  <c r="AQ50"/>
  <c r="AR42"/>
  <c r="AR46"/>
  <c r="AQ49"/>
  <c r="AQ48"/>
  <c r="AS42"/>
  <c r="AS46"/>
  <c r="AT42" l="1"/>
  <c r="AT46"/>
  <c r="AQ45"/>
  <c r="AR44"/>
  <c r="AS44" s="1"/>
  <c r="AT44" s="1"/>
  <c r="AS48"/>
  <c r="AS49"/>
  <c r="AR49"/>
  <c r="AR48"/>
  <c r="AS43"/>
  <c r="AS50"/>
  <c r="AR43"/>
  <c r="AR45" s="1"/>
  <c r="AS45" s="1"/>
  <c r="AR50"/>
  <c r="AT43" l="1"/>
  <c r="AT45" s="1"/>
  <c r="AT50"/>
  <c r="B26" i="33" s="1"/>
  <c r="AT49" i="28"/>
  <c r="AT48"/>
  <c r="B27" i="33" s="1"/>
  <c r="B52" i="28"/>
  <c r="B29" i="33" s="1"/>
</calcChain>
</file>

<file path=xl/sharedStrings.xml><?xml version="1.0" encoding="utf-8"?>
<sst xmlns="http://schemas.openxmlformats.org/spreadsheetml/2006/main" count="541" uniqueCount="388">
  <si>
    <t>Итого</t>
  </si>
  <si>
    <t>ВСЕГО</t>
  </si>
  <si>
    <t>Налог на имущество</t>
  </si>
  <si>
    <t xml:space="preserve">Наименование          </t>
  </si>
  <si>
    <t>Чистый доход</t>
  </si>
  <si>
    <t>Остаток денежных средств на начало отчетного периода</t>
  </si>
  <si>
    <t>Выбытие</t>
  </si>
  <si>
    <t xml:space="preserve">Поступление </t>
  </si>
  <si>
    <t xml:space="preserve">Выбытие </t>
  </si>
  <si>
    <t>Значение</t>
  </si>
  <si>
    <t>Период</t>
  </si>
  <si>
    <t>Операционная деятельность</t>
  </si>
  <si>
    <t>Вознаграждение</t>
  </si>
  <si>
    <t>итого</t>
  </si>
  <si>
    <t>начисление %</t>
  </si>
  <si>
    <t>Погашено ОД</t>
  </si>
  <si>
    <t>Погашено %</t>
  </si>
  <si>
    <t>Остаток ОД</t>
  </si>
  <si>
    <t>Валовая прибыль</t>
  </si>
  <si>
    <t xml:space="preserve">    Поступление</t>
  </si>
  <si>
    <t xml:space="preserve">Подоходный налог </t>
  </si>
  <si>
    <t>Результат операционной деятельности</t>
  </si>
  <si>
    <t>Инвестиционная деятельность</t>
  </si>
  <si>
    <t xml:space="preserve">Приобретение ОС и НА </t>
  </si>
  <si>
    <t>Результат инвестиционной деятельности</t>
  </si>
  <si>
    <t>недостача избыток ден средств</t>
  </si>
  <si>
    <t>Финансовая деятельность</t>
  </si>
  <si>
    <t>Результат финансовой деятельности</t>
  </si>
  <si>
    <t>Чистые потоки денежных средств</t>
  </si>
  <si>
    <t>Расходы по процентам за кредиты</t>
  </si>
  <si>
    <t>Корпоративный подоходный налог</t>
  </si>
  <si>
    <t>Показатель</t>
  </si>
  <si>
    <t>Период окупаемости (дисконтированный)</t>
  </si>
  <si>
    <t>Сальдо по НДС</t>
  </si>
  <si>
    <t>Капитализ-я %</t>
  </si>
  <si>
    <t>Кумулятивный чистый доход</t>
  </si>
  <si>
    <t>Выплаты по дивидендам учредителям</t>
  </si>
  <si>
    <t>Доход облагаемый КПН</t>
  </si>
  <si>
    <t>Выплата НДС</t>
  </si>
  <si>
    <t xml:space="preserve">Период окупаемости   </t>
  </si>
  <si>
    <t>№</t>
  </si>
  <si>
    <t>Должность</t>
  </si>
  <si>
    <t>Количество</t>
  </si>
  <si>
    <t>Исходные данные по проекту</t>
  </si>
  <si>
    <t>Ед. изм.</t>
  </si>
  <si>
    <t>НДС</t>
  </si>
  <si>
    <t>%</t>
  </si>
  <si>
    <t>без НДС</t>
  </si>
  <si>
    <t>Затраты</t>
  </si>
  <si>
    <t>ФОТ</t>
  </si>
  <si>
    <t>Канцтовары</t>
  </si>
  <si>
    <t>Прочие непредвиденные расходы</t>
  </si>
  <si>
    <t>Пенсионные отчисления</t>
  </si>
  <si>
    <t>Подоходный налог</t>
  </si>
  <si>
    <t>Социальные отчисления</t>
  </si>
  <si>
    <t>Социальный налог</t>
  </si>
  <si>
    <t>К выдаче</t>
  </si>
  <si>
    <t>Соц.отчисления</t>
  </si>
  <si>
    <t>Расчет НДС</t>
  </si>
  <si>
    <t>Проценты за кредит</t>
  </si>
  <si>
    <t>Остаток на конец отчетного периода</t>
  </si>
  <si>
    <t xml:space="preserve">Поступления по вкладам учредителей </t>
  </si>
  <si>
    <t>Ставка по кредиту</t>
  </si>
  <si>
    <t>max</t>
  </si>
  <si>
    <t>Ставка КПН</t>
  </si>
  <si>
    <t>тыс.тг.</t>
  </si>
  <si>
    <t>Первоначальные инвестиции с НДС, тыс.тг.</t>
  </si>
  <si>
    <t>Коэффициент НДС</t>
  </si>
  <si>
    <t>Net CF (all)</t>
  </si>
  <si>
    <t>CF before int. and loans</t>
  </si>
  <si>
    <t>CF inv</t>
  </si>
  <si>
    <t>NCF (Чистые денежные потоки)</t>
  </si>
  <si>
    <t>d NCF</t>
  </si>
  <si>
    <t>CCF</t>
  </si>
  <si>
    <t>dCCF</t>
  </si>
  <si>
    <t>PV (CCF)</t>
  </si>
  <si>
    <t>PV (CCF inv)</t>
  </si>
  <si>
    <t>NPV</t>
  </si>
  <si>
    <t>PI</t>
  </si>
  <si>
    <t>IRR</t>
  </si>
  <si>
    <t>Ставка дисконтирования</t>
  </si>
  <si>
    <t>Анализ безубыточности проекта</t>
  </si>
  <si>
    <t>Доля предельного дохода в выручке</t>
  </si>
  <si>
    <t>Запас финансовой устойчивости предприятия (%)</t>
  </si>
  <si>
    <t>Амортизация</t>
  </si>
  <si>
    <t>Кол-во периодов</t>
  </si>
  <si>
    <t>Расходы на рекламу</t>
  </si>
  <si>
    <t>Страхование</t>
  </si>
  <si>
    <t>Стр-е гражданско-правовой ответ-ти работодателя</t>
  </si>
  <si>
    <t>Налоги (кроме налогов на ФЗП)</t>
  </si>
  <si>
    <t>Расчет амортизационных отчислений</t>
  </si>
  <si>
    <t>Норма амортизации</t>
  </si>
  <si>
    <t>Основные средства на начало</t>
  </si>
  <si>
    <t>Приход ОС</t>
  </si>
  <si>
    <t>Амортизационные отчисления, год</t>
  </si>
  <si>
    <t>Остаточная стоимость ОС</t>
  </si>
  <si>
    <t>Всего</t>
  </si>
  <si>
    <t>Балансовая прибыль</t>
  </si>
  <si>
    <t>Постоянные издержки</t>
  </si>
  <si>
    <t>Переменные издержки</t>
  </si>
  <si>
    <t>Сумма предельного дохода</t>
  </si>
  <si>
    <t>Предел безубыточности</t>
  </si>
  <si>
    <t>Адм.-управленческий персонал</t>
  </si>
  <si>
    <t>оклад</t>
  </si>
  <si>
    <t>Итого ЗП к начислению</t>
  </si>
  <si>
    <t>Статья доходов</t>
  </si>
  <si>
    <t>$ тыс.</t>
  </si>
  <si>
    <t>Доход от реализации продукции, услуг</t>
  </si>
  <si>
    <t>Себестоимость реализ. товаров, услуг</t>
  </si>
  <si>
    <t>Освоение и погашение кредитных ресурсов, тыс.тг.</t>
  </si>
  <si>
    <t>Производственный персонал</t>
  </si>
  <si>
    <t>Обслуживающий персонал</t>
  </si>
  <si>
    <t>Обслуживание и ремонт ОС</t>
  </si>
  <si>
    <t>Услуги банка</t>
  </si>
  <si>
    <t>Налог на транспорт</t>
  </si>
  <si>
    <t>Курс доллар/тенге</t>
  </si>
  <si>
    <t>Безубыточность</t>
  </si>
  <si>
    <t>Заемные средства</t>
  </si>
  <si>
    <t>Оборудование</t>
  </si>
  <si>
    <t>Освоение</t>
  </si>
  <si>
    <t>значение</t>
  </si>
  <si>
    <t>Вспомогательный персонал</t>
  </si>
  <si>
    <t>Всего по персоналу</t>
  </si>
  <si>
    <t>Услуги связи</t>
  </si>
  <si>
    <t>Здание</t>
  </si>
  <si>
    <t>Отчет о доходах и расходах</t>
  </si>
  <si>
    <t>год</t>
  </si>
  <si>
    <t>Доход от реализации услуг</t>
  </si>
  <si>
    <t>МЗП</t>
  </si>
  <si>
    <t>Директор</t>
  </si>
  <si>
    <t>Охранник</t>
  </si>
  <si>
    <t>Завхоз</t>
  </si>
  <si>
    <t>Полная себестоимость услуг</t>
  </si>
  <si>
    <t>Баланс</t>
  </si>
  <si>
    <t>Активы</t>
  </si>
  <si>
    <t>Текущие активы</t>
  </si>
  <si>
    <t>Денежные средства</t>
  </si>
  <si>
    <t>Дебиторская задолженность</t>
  </si>
  <si>
    <t>Запасы</t>
  </si>
  <si>
    <t>Прочие краткосрочные активы</t>
  </si>
  <si>
    <t>Долгосрочные активы</t>
  </si>
  <si>
    <t>Основные средства</t>
  </si>
  <si>
    <t>Долгосрочная дебиторская задолженность</t>
  </si>
  <si>
    <t>Прочие долгосрочные активы</t>
  </si>
  <si>
    <t>Пассивы</t>
  </si>
  <si>
    <t>Краткосрочные обязательства</t>
  </si>
  <si>
    <t>Обязательства по налогам</t>
  </si>
  <si>
    <t>Краткосрочная кредиторская задолженность</t>
  </si>
  <si>
    <t>Обязательства по кредитам</t>
  </si>
  <si>
    <t>Прочие краткосрочные обязательства</t>
  </si>
  <si>
    <t>Долгосрочные обязательства</t>
  </si>
  <si>
    <t>Прочие долгосрочные обязательства</t>
  </si>
  <si>
    <t>Капитал</t>
  </si>
  <si>
    <t>Уставный капитал</t>
  </si>
  <si>
    <t>Прибыль</t>
  </si>
  <si>
    <t>проверочная строка</t>
  </si>
  <si>
    <t>Изменение ДТ</t>
  </si>
  <si>
    <t>Изменение запасов</t>
  </si>
  <si>
    <t>Изменение КТ</t>
  </si>
  <si>
    <t>Итого изменение оборотного капитала</t>
  </si>
  <si>
    <t>Кап.затраты</t>
  </si>
  <si>
    <t>Чистый денежный поток</t>
  </si>
  <si>
    <t>Единица расчетов</t>
  </si>
  <si>
    <t>Налоговые ставки</t>
  </si>
  <si>
    <t>Расчет заработной платы</t>
  </si>
  <si>
    <t>Расходы периода</t>
  </si>
  <si>
    <t>Административные расходы</t>
  </si>
  <si>
    <t>ЧДП по Ф3</t>
  </si>
  <si>
    <t>Постоянные расходы в месяц</t>
  </si>
  <si>
    <t>Доходы-расходы</t>
  </si>
  <si>
    <t>Общие</t>
  </si>
  <si>
    <t>Параметры кредита</t>
  </si>
  <si>
    <t>Срок кредита</t>
  </si>
  <si>
    <t>лет</t>
  </si>
  <si>
    <t>Льготный период по выплате ОД</t>
  </si>
  <si>
    <t>Льготный период по выплате %</t>
  </si>
  <si>
    <t>мес</t>
  </si>
  <si>
    <t>Сумма</t>
  </si>
  <si>
    <t>Кол-во</t>
  </si>
  <si>
    <t>Цена</t>
  </si>
  <si>
    <t>Курс рос.рубль/тенге</t>
  </si>
  <si>
    <t>метод WACC</t>
  </si>
  <si>
    <t>Выплаты по кредитам</t>
  </si>
  <si>
    <t>Поступления по кредитам</t>
  </si>
  <si>
    <t>Прогноз движения денежных средств (Cash Flow)</t>
  </si>
  <si>
    <t>НДС к начислению</t>
  </si>
  <si>
    <t>НДС к зачету</t>
  </si>
  <si>
    <t>НДС к зачету по инвестициям</t>
  </si>
  <si>
    <t>Сальдо нарастающим итогом</t>
  </si>
  <si>
    <t>НДС к выплате</t>
  </si>
  <si>
    <t>Оборотный капитал</t>
  </si>
  <si>
    <t>Инвестиции в основной капитал</t>
  </si>
  <si>
    <t>Доля</t>
  </si>
  <si>
    <t>Валюта кредита</t>
  </si>
  <si>
    <t>тенге</t>
  </si>
  <si>
    <t>Процентная ставка, годовых</t>
  </si>
  <si>
    <t>Выплата процентов и основного долга</t>
  </si>
  <si>
    <t>ежемесячно</t>
  </si>
  <si>
    <t>Тип погашения</t>
  </si>
  <si>
    <t>равными долями</t>
  </si>
  <si>
    <t>Льготный период погашения процентов, мес.</t>
  </si>
  <si>
    <t>Льготный период погашения основного долга, мес.</t>
  </si>
  <si>
    <t>период</t>
  </si>
  <si>
    <t>Рентабельность активов</t>
  </si>
  <si>
    <t>Внутренняя норма доходности (IRR)</t>
  </si>
  <si>
    <t>Чистая текущая стоимость (NPV), тыс.тг.</t>
  </si>
  <si>
    <t>Окупаемость проекта (простая), лет</t>
  </si>
  <si>
    <t>Окупаемость проекта (дисконтированная), лет</t>
  </si>
  <si>
    <t>Календарный план реализации проекта</t>
  </si>
  <si>
    <t>Мероприятия\Месяц</t>
  </si>
  <si>
    <t>Проведение маркетингового исследования и разработка ТЭО</t>
  </si>
  <si>
    <t>Решение вопроса финансирования</t>
  </si>
  <si>
    <t>Получение кредита</t>
  </si>
  <si>
    <t>Здания и сооружения</t>
  </si>
  <si>
    <t>Коэффициент покрытия обязательств собственным капиталом</t>
  </si>
  <si>
    <t>Наименование</t>
  </si>
  <si>
    <t>Величина налоговых поступлений за 7 лет, тыс.тг.</t>
  </si>
  <si>
    <t>Налог на прибыль</t>
  </si>
  <si>
    <t>Налоги и обязательные платежи от ФОТ</t>
  </si>
  <si>
    <t>Вид налога</t>
  </si>
  <si>
    <t>Сумма, тыс.тг.</t>
  </si>
  <si>
    <t>Водитель</t>
  </si>
  <si>
    <t>Техника</t>
  </si>
  <si>
    <t>ед.изм.</t>
  </si>
  <si>
    <t>ГСМ</t>
  </si>
  <si>
    <t>НК РК (10 584 тг/1 машина)</t>
  </si>
  <si>
    <t>Срок погашения, лет</t>
  </si>
  <si>
    <t>Планируемая программа производства по годам проекта</t>
  </si>
  <si>
    <t>Поставка оборудования, монтаж</t>
  </si>
  <si>
    <t>Поиск персонала</t>
  </si>
  <si>
    <t>Размещение рекламы</t>
  </si>
  <si>
    <t>Цены на продукцию</t>
  </si>
  <si>
    <t>Глав.бухгалтер</t>
  </si>
  <si>
    <t>Инженер</t>
  </si>
  <si>
    <t>Уборщик помещений</t>
  </si>
  <si>
    <t>Разнорабочий</t>
  </si>
  <si>
    <t>Слесарь</t>
  </si>
  <si>
    <t>Электрик</t>
  </si>
  <si>
    <t>Ед.изм.</t>
  </si>
  <si>
    <t>Годовая прибыль (7 год), тыс.тг.</t>
  </si>
  <si>
    <t>на 7 год проекта</t>
  </si>
  <si>
    <t>на 5 год проекта, т.к. к 7 году происходит полное погашение обязательств</t>
  </si>
  <si>
    <t>Налог на имущество и транспорт</t>
  </si>
  <si>
    <t>Примечание</t>
  </si>
  <si>
    <t>Земельный участок берется в безвозмездную аренду у государства согласно Закона об инвестициях</t>
  </si>
  <si>
    <t>КРС</t>
  </si>
  <si>
    <t>коэф-т</t>
  </si>
  <si>
    <t>Движение поголовья</t>
  </si>
  <si>
    <t>Приобретено коров</t>
  </si>
  <si>
    <t>Выбраковка по болезни и забой по старости (начиная с 3-го года)</t>
  </si>
  <si>
    <t>Поголовье коров</t>
  </si>
  <si>
    <t>Кол-во полученного приплода</t>
  </si>
  <si>
    <t>в т.ч. поголовье бычков</t>
  </si>
  <si>
    <t>поголовье телок</t>
  </si>
  <si>
    <t>1 отел</t>
  </si>
  <si>
    <t>Выбраковка</t>
  </si>
  <si>
    <t>2 отел</t>
  </si>
  <si>
    <t>3 отел</t>
  </si>
  <si>
    <t>4 отел</t>
  </si>
  <si>
    <t>5 отел</t>
  </si>
  <si>
    <t>6 отел</t>
  </si>
  <si>
    <t>Поголовье быков</t>
  </si>
  <si>
    <t>Забой быков</t>
  </si>
  <si>
    <t>Забой коров (выбраковка)</t>
  </si>
  <si>
    <t>вес туши</t>
  </si>
  <si>
    <t>уб.вес</t>
  </si>
  <si>
    <t>вместительность холодильника</t>
  </si>
  <si>
    <t>Мясо от быков</t>
  </si>
  <si>
    <t>кг.</t>
  </si>
  <si>
    <t xml:space="preserve"> 2 тонны</t>
  </si>
  <si>
    <t>м3</t>
  </si>
  <si>
    <t>1 м3 холодильной камеры - 0,3-0,45 тн.</t>
  </si>
  <si>
    <t>Производственные расходы</t>
  </si>
  <si>
    <t>Сено</t>
  </si>
  <si>
    <t>нормы расхода - Справочник фермера, Агротехнический университет</t>
  </si>
  <si>
    <t>Солома</t>
  </si>
  <si>
    <t>Зерновые</t>
  </si>
  <si>
    <t>Расчет площади коровника</t>
  </si>
  <si>
    <t>max поголовье, гол.</t>
  </si>
  <si>
    <t>Масса 1 головы</t>
  </si>
  <si>
    <t>кг</t>
  </si>
  <si>
    <t>Соотношение живой/убойный вес</t>
  </si>
  <si>
    <t>Кол-во бычков от общего приплода</t>
  </si>
  <si>
    <t>Кол-во телок от общего приплода</t>
  </si>
  <si>
    <t>Кол-во первоначально приобретаемых коров</t>
  </si>
  <si>
    <t>гол.</t>
  </si>
  <si>
    <t>Кол-во первоначально приобретаемых быков</t>
  </si>
  <si>
    <t>Максимальное поголовье коров</t>
  </si>
  <si>
    <t>Получаемый приплод</t>
  </si>
  <si>
    <t>Поголовье телок</t>
  </si>
  <si>
    <t>Поголовье бычков</t>
  </si>
  <si>
    <t>забиваются на следующий год</t>
  </si>
  <si>
    <t>Перевод телок во взрослое стадо</t>
  </si>
  <si>
    <t>переводятся по происшествии 2-х лет</t>
  </si>
  <si>
    <t>Среднее поголовье взрослое стадо</t>
  </si>
  <si>
    <t>Среднее поголовье молодняк</t>
  </si>
  <si>
    <t>Эксплуатационные расходы</t>
  </si>
  <si>
    <t>Мясо</t>
  </si>
  <si>
    <t>Необходимая площадь коровника, м2</t>
  </si>
  <si>
    <t>Взрослое стадо</t>
  </si>
  <si>
    <t>Молодняк</t>
  </si>
  <si>
    <t>Мясо говядина</t>
  </si>
  <si>
    <t>тг./кг. без НДС</t>
  </si>
  <si>
    <t>Реализация мяса</t>
  </si>
  <si>
    <t>Заведующий</t>
  </si>
  <si>
    <t>Зоотехник</t>
  </si>
  <si>
    <t>Скотник</t>
  </si>
  <si>
    <t>Ветврач</t>
  </si>
  <si>
    <t>Вет.препараты</t>
  </si>
  <si>
    <t>Холодильная установка на базе компрессоров Copeland</t>
  </si>
  <si>
    <t>МТЗ</t>
  </si>
  <si>
    <t>Животные</t>
  </si>
  <si>
    <t>КРС - коровы</t>
  </si>
  <si>
    <t>КРС - быки</t>
  </si>
  <si>
    <t>Корма</t>
  </si>
  <si>
    <t>с 01.13</t>
  </si>
  <si>
    <t>Дата начала реализации</t>
  </si>
  <si>
    <t>Доля собственного участия</t>
  </si>
  <si>
    <t>с НДС</t>
  </si>
  <si>
    <t>сдельно</t>
  </si>
  <si>
    <t>01-06.12</t>
  </si>
  <si>
    <t>Производство мяса, тн.</t>
  </si>
  <si>
    <t>Показатель (годовой)</t>
  </si>
  <si>
    <t>Сдельная заработная плата</t>
  </si>
  <si>
    <t>ФОТ на 1 голову</t>
  </si>
  <si>
    <t>Поголовье общее</t>
  </si>
  <si>
    <t>ФОТ первоначальный (в месяц)</t>
  </si>
  <si>
    <t>Кол-во голов (первоначальное, взрослое стадо)</t>
  </si>
  <si>
    <t>Кол-во голов (первоначальное, молодняк)</t>
  </si>
  <si>
    <t>Среднее кол-во голов</t>
  </si>
  <si>
    <t>Кол-во голов в день</t>
  </si>
  <si>
    <t>гол</t>
  </si>
  <si>
    <t>Вес туши</t>
  </si>
  <si>
    <t>Убойный вес</t>
  </si>
  <si>
    <t>Рабочих дней в мес.</t>
  </si>
  <si>
    <t>дн.</t>
  </si>
  <si>
    <t>Цена 1 кг. мяса</t>
  </si>
  <si>
    <t>тг.</t>
  </si>
  <si>
    <t>Ставка услуг</t>
  </si>
  <si>
    <t>Ежемесячный доход</t>
  </si>
  <si>
    <t>Доходы в год, тыс.тг.</t>
  </si>
  <si>
    <t>Услуги по забою скота</t>
  </si>
  <si>
    <t>исходя из рыночных цен (сайт АО "Казагромаркетинг")</t>
  </si>
  <si>
    <t>Корнеплоды</t>
  </si>
  <si>
    <t>Витаминно-минеральные добавки</t>
  </si>
  <si>
    <t>Цена, тыс.тг.</t>
  </si>
  <si>
    <t>Норма          (тн. в год)</t>
  </si>
  <si>
    <t>Сайт tehnika.apkonline.ru</t>
  </si>
  <si>
    <t>Объем мяса</t>
  </si>
  <si>
    <t>в т.ч. взрослое поголовье</t>
  </si>
  <si>
    <t xml:space="preserve">        молодняк</t>
  </si>
  <si>
    <t>норма площади на 1 голову (взр), м2</t>
  </si>
  <si>
    <t>норма площади на 1 голову (мол), м3</t>
  </si>
  <si>
    <t>Помещение для доильного станка, м2</t>
  </si>
  <si>
    <t>Помещение для хранения молока, м2</t>
  </si>
  <si>
    <t>Помещение для кормов, м2</t>
  </si>
  <si>
    <t>Утепленное здание системы “СПАЙДЕР-В” (коровник)</t>
  </si>
  <si>
    <t>компания Ruukki Construction</t>
  </si>
  <si>
    <t>Среднее поголовье коров (взрослое стадо), гол.</t>
  </si>
  <si>
    <t>Среднее поголовье молодняка, гол.</t>
  </si>
  <si>
    <t>Масса 1 головы в живом весе, кг.</t>
  </si>
  <si>
    <t>Масса 1 головы в убойном весе, кг.</t>
  </si>
  <si>
    <t>Комплект оборудования для бойни</t>
  </si>
  <si>
    <t>цены КХ</t>
  </si>
  <si>
    <t>Установка ангара</t>
  </si>
  <si>
    <t>Выплата аванса за оборудование</t>
  </si>
  <si>
    <t>Закуп КРС</t>
  </si>
  <si>
    <t>с 04.12</t>
  </si>
  <si>
    <t>Оборудование для коровника</t>
  </si>
  <si>
    <t>Работник бойни</t>
  </si>
  <si>
    <t>ГАЗель - рефрижератор</t>
  </si>
  <si>
    <t>компания ГазАвтоМир</t>
  </si>
  <si>
    <t>3 машины</t>
  </si>
  <si>
    <t>Расходы, тыс.тг.</t>
  </si>
  <si>
    <t>Источник финансирования, тыс.тг.</t>
  </si>
  <si>
    <t>Реализация телок в живом весе</t>
  </si>
  <si>
    <t>Мясо от выбракованных коров</t>
  </si>
  <si>
    <t>Реализация скота в живом весе</t>
  </si>
  <si>
    <t>Телки в живом весе</t>
  </si>
  <si>
    <t>Отделение от стада</t>
  </si>
  <si>
    <t>с 01.14</t>
  </si>
  <si>
    <t>из расчета 15 л.на 1 машину в день</t>
  </si>
  <si>
    <t>Собственные средства</t>
  </si>
  <si>
    <t>Продажа скота (телки) в живом весе, гол.</t>
  </si>
  <si>
    <t>уменьшен на 70% согласно НК РК</t>
  </si>
  <si>
    <t>Расчет стоимости услуг по оказанию услуг забоя и транспортировки до рынка</t>
  </si>
  <si>
    <t>Доля основных средств в стоимости активов</t>
  </si>
  <si>
    <t>на 12 год реализации проекта</t>
  </si>
</sst>
</file>

<file path=xl/styles.xml><?xml version="1.0" encoding="utf-8"?>
<styleSheet xmlns="http://schemas.openxmlformats.org/spreadsheetml/2006/main">
  <numFmts count="18">
    <numFmt numFmtId="41" formatCode="_-* #,##0_р_._-;\-* #,##0_р_._-;_-* &quot;-&quot;_р_._-;_-@_-"/>
    <numFmt numFmtId="43" formatCode="_-* #,##0.00_р_._-;\-* #,##0.00_р_._-;_-* &quot;-&quot;??_р_._-;_-@_-"/>
    <numFmt numFmtId="164" formatCode="#,##0_ ;[Red]\-#,##0\ "/>
    <numFmt numFmtId="165" formatCode="0.0%"/>
    <numFmt numFmtId="166" formatCode="_(&quot;$&quot;* #,##0_);_(&quot;$&quot;* \(#,##0\);_(&quot;$&quot;* &quot;-&quot;_);_(@_)"/>
    <numFmt numFmtId="167" formatCode="_(&quot;$&quot;* #,##0.00_);_(&quot;$&quot;* \(#,##0.00\);_(&quot;$&quot;* &quot;-&quot;??_);_(@_)"/>
    <numFmt numFmtId="168" formatCode="0.0"/>
    <numFmt numFmtId="169" formatCode="#,##0.0"/>
    <numFmt numFmtId="170" formatCode="&quot;\&quot;#,##0;[Red]&quot;\&quot;\-#,##0"/>
    <numFmt numFmtId="171" formatCode="&quot;\&quot;#,##0.00;[Red]&quot;\&quot;\-#,##0.00"/>
    <numFmt numFmtId="172" formatCode="&quot;See Note &quot;\ #"/>
    <numFmt numFmtId="173" formatCode="\$\ #,##0"/>
    <numFmt numFmtId="174" formatCode="_-* #,##0.00[$€]_-;\-* #,##0.00[$€]_-;_-* &quot;-&quot;??[$€]_-;_-@_-"/>
    <numFmt numFmtId="175" formatCode="#,##0.000"/>
    <numFmt numFmtId="176" formatCode="0.000"/>
    <numFmt numFmtId="177" formatCode="_-* #,##0_р_._-;\-* #,##0_р_._-;_-* &quot;-&quot;??_р_._-;_-@_-"/>
    <numFmt numFmtId="178" formatCode="#,##0_ ;\-#,##0\ "/>
    <numFmt numFmtId="179" formatCode="#,##0.0_ ;\-#,##0.0\ "/>
  </numFmts>
  <fonts count="30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Arial Cyr"/>
      <charset val="204"/>
    </font>
    <font>
      <sz val="10"/>
      <name val="Arial"/>
      <family val="2"/>
    </font>
    <font>
      <sz val="10"/>
      <name val="Helv"/>
      <family val="2"/>
    </font>
    <font>
      <b/>
      <sz val="8"/>
      <name val="Times New Roman"/>
      <family val="1"/>
    </font>
    <font>
      <sz val="10"/>
      <name val="ЏрЯмой Џроп"/>
    </font>
    <font>
      <sz val="8"/>
      <name val="Helv"/>
      <family val="2"/>
    </font>
    <font>
      <sz val="8"/>
      <name val="Times New Roman"/>
      <family val="1"/>
    </font>
    <font>
      <sz val="10"/>
      <name val="Arial"/>
      <family val="2"/>
      <charset val="204"/>
    </font>
    <font>
      <sz val="12"/>
      <name val="Times New Roman Cyr"/>
      <charset val="204"/>
    </font>
    <font>
      <sz val="10"/>
      <name val="Geneva"/>
      <charset val="204"/>
    </font>
    <font>
      <sz val="11"/>
      <name val="lr oSVbN"/>
      <family val="3"/>
    </font>
    <font>
      <sz val="8"/>
      <name val="Arial"/>
      <family val="2"/>
      <charset val="204"/>
    </font>
    <font>
      <sz val="10"/>
      <name val="Arial Cyr"/>
      <charset val="204"/>
    </font>
    <font>
      <sz val="9"/>
      <color indexed="8"/>
      <name val="Futuris"/>
    </font>
    <font>
      <b/>
      <sz val="10"/>
      <name val="Arial"/>
      <family val="2"/>
      <charset val="204"/>
    </font>
    <font>
      <i/>
      <sz val="10"/>
      <name val="Arial"/>
      <family val="2"/>
      <charset val="204"/>
    </font>
    <font>
      <sz val="10"/>
      <color indexed="9"/>
      <name val="Arial"/>
      <family val="2"/>
      <charset val="204"/>
    </font>
    <font>
      <b/>
      <sz val="10"/>
      <color indexed="10"/>
      <name val="Arial"/>
      <family val="2"/>
      <charset val="204"/>
    </font>
    <font>
      <sz val="10"/>
      <color indexed="10"/>
      <name val="Arial"/>
      <family val="2"/>
      <charset val="204"/>
    </font>
    <font>
      <b/>
      <i/>
      <sz val="10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9"/>
      <name val="Arial"/>
      <family val="2"/>
      <charset val="204"/>
    </font>
    <font>
      <i/>
      <sz val="10"/>
      <color theme="3" tint="0.39997558519241921"/>
      <name val="Arial"/>
      <family val="2"/>
      <charset val="204"/>
    </font>
    <font>
      <i/>
      <sz val="10"/>
      <color theme="0" tint="-0.499984740745262"/>
      <name val="Arial"/>
      <family val="2"/>
      <charset val="204"/>
    </font>
    <font>
      <sz val="10"/>
      <color theme="3" tint="0.39997558519241921"/>
      <name val="Arial"/>
      <family val="2"/>
      <charset val="204"/>
    </font>
    <font>
      <i/>
      <sz val="8"/>
      <color theme="0" tint="-0.499984740745262"/>
      <name val="Arial"/>
      <family val="2"/>
      <charset val="204"/>
    </font>
  </fonts>
  <fills count="1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0">
    <xf numFmtId="0" fontId="0" fillId="0" borderId="0"/>
    <xf numFmtId="0" fontId="16" fillId="0" borderId="0">
      <alignment vertical="top" wrapText="1"/>
    </xf>
    <xf numFmtId="174" fontId="1" fillId="0" borderId="0" applyFont="0" applyFill="0" applyBorder="0" applyAlignment="0" applyProtection="0"/>
    <xf numFmtId="0" fontId="6" fillId="0" borderId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7" fillId="0" borderId="0"/>
    <xf numFmtId="172" fontId="8" fillId="0" borderId="0">
      <alignment horizontal="left"/>
    </xf>
    <xf numFmtId="173" fontId="9" fillId="0" borderId="0"/>
    <xf numFmtId="172" fontId="8" fillId="0" borderId="0">
      <alignment horizontal="left"/>
    </xf>
    <xf numFmtId="0" fontId="1" fillId="0" borderId="0"/>
    <xf numFmtId="0" fontId="15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" fillId="0" borderId="0"/>
    <xf numFmtId="0" fontId="15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/>
    <xf numFmtId="0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13" fillId="0" borderId="0" applyFont="0" applyFill="0" applyBorder="0" applyAlignment="0" applyProtection="0"/>
    <xf numFmtId="38" fontId="13" fillId="0" borderId="0" applyFont="0" applyFill="0" applyBorder="0" applyAlignment="0" applyProtection="0"/>
    <xf numFmtId="0" fontId="13" fillId="0" borderId="0"/>
    <xf numFmtId="171" fontId="13" fillId="0" borderId="0" applyFont="0" applyFill="0" applyBorder="0" applyAlignment="0" applyProtection="0"/>
    <xf numFmtId="170" fontId="13" fillId="0" borderId="0" applyFont="0" applyFill="0" applyBorder="0" applyAlignment="0" applyProtection="0"/>
  </cellStyleXfs>
  <cellXfs count="383">
    <xf numFmtId="0" fontId="0" fillId="0" borderId="0" xfId="0"/>
    <xf numFmtId="0" fontId="17" fillId="0" borderId="0" xfId="18" applyFont="1" applyFill="1" applyBorder="1" applyAlignment="1"/>
    <xf numFmtId="0" fontId="10" fillId="0" borderId="0" xfId="18" applyFont="1" applyFill="1" applyBorder="1"/>
    <xf numFmtId="0" fontId="10" fillId="0" borderId="0" xfId="18" applyFont="1" applyFill="1" applyBorder="1" applyAlignment="1">
      <alignment horizontal="right"/>
    </xf>
    <xf numFmtId="3" fontId="10" fillId="0" borderId="0" xfId="0" applyNumberFormat="1" applyFont="1" applyFill="1" applyBorder="1" applyAlignment="1">
      <alignment horizontal="center"/>
    </xf>
    <xf numFmtId="0" fontId="18" fillId="0" borderId="0" xfId="16" applyFont="1" applyFill="1" applyBorder="1" applyAlignment="1">
      <alignment horizontal="left"/>
    </xf>
    <xf numFmtId="0" fontId="10" fillId="0" borderId="0" xfId="0" applyFont="1" applyFill="1" applyBorder="1"/>
    <xf numFmtId="0" fontId="17" fillId="0" borderId="0" xfId="0" applyFont="1" applyFill="1" applyBorder="1"/>
    <xf numFmtId="0" fontId="10" fillId="0" borderId="0" xfId="0" applyFont="1" applyFill="1"/>
    <xf numFmtId="164" fontId="10" fillId="0" borderId="0" xfId="0" applyNumberFormat="1" applyFont="1" applyFill="1" applyAlignment="1"/>
    <xf numFmtId="164" fontId="10" fillId="0" borderId="0" xfId="0" applyNumberFormat="1" applyFont="1" applyFill="1" applyAlignment="1">
      <alignment horizontal="center"/>
    </xf>
    <xf numFmtId="0" fontId="10" fillId="0" borderId="0" xfId="18" applyFont="1" applyFill="1" applyBorder="1" applyAlignment="1"/>
    <xf numFmtId="0" fontId="17" fillId="0" borderId="0" xfId="18" applyFont="1" applyFill="1" applyBorder="1" applyAlignment="1">
      <alignment horizontal="center"/>
    </xf>
    <xf numFmtId="0" fontId="19" fillId="0" borderId="0" xfId="18" applyFont="1" applyFill="1" applyBorder="1"/>
    <xf numFmtId="14" fontId="10" fillId="0" borderId="0" xfId="18" applyNumberFormat="1" applyFont="1" applyFill="1" applyBorder="1"/>
    <xf numFmtId="0" fontId="17" fillId="0" borderId="1" xfId="18" applyFont="1" applyFill="1" applyBorder="1" applyAlignment="1">
      <alignment horizontal="center" vertical="center" wrapText="1"/>
    </xf>
    <xf numFmtId="0" fontId="10" fillId="0" borderId="1" xfId="18" applyFont="1" applyFill="1" applyBorder="1" applyAlignment="1">
      <alignment horizontal="center" vertical="center" wrapText="1"/>
    </xf>
    <xf numFmtId="2" fontId="17" fillId="2" borderId="1" xfId="18" applyNumberFormat="1" applyFont="1" applyFill="1" applyBorder="1" applyAlignment="1">
      <alignment wrapText="1"/>
    </xf>
    <xf numFmtId="3" fontId="17" fillId="2" borderId="1" xfId="18" applyNumberFormat="1" applyFont="1" applyFill="1" applyBorder="1" applyAlignment="1">
      <alignment horizontal="right" wrapText="1"/>
    </xf>
    <xf numFmtId="0" fontId="17" fillId="2" borderId="1" xfId="18" applyFont="1" applyFill="1" applyBorder="1" applyAlignment="1">
      <alignment horizontal="left" wrapText="1"/>
    </xf>
    <xf numFmtId="3" fontId="17" fillId="2" borderId="1" xfId="18" applyNumberFormat="1" applyFont="1" applyFill="1" applyBorder="1" applyAlignment="1"/>
    <xf numFmtId="0" fontId="17" fillId="0" borderId="0" xfId="0" applyFont="1" applyFill="1"/>
    <xf numFmtId="0" fontId="17" fillId="3" borderId="2" xfId="18" applyFont="1" applyFill="1" applyBorder="1" applyAlignment="1">
      <alignment vertical="center"/>
    </xf>
    <xf numFmtId="0" fontId="17" fillId="3" borderId="3" xfId="18" applyFont="1" applyFill="1" applyBorder="1" applyAlignment="1">
      <alignment vertical="center"/>
    </xf>
    <xf numFmtId="3" fontId="17" fillId="3" borderId="1" xfId="18" applyNumberFormat="1" applyFont="1" applyFill="1" applyBorder="1" applyAlignment="1">
      <alignment vertical="center"/>
    </xf>
    <xf numFmtId="3" fontId="17" fillId="3" borderId="1" xfId="18" applyNumberFormat="1" applyFont="1" applyFill="1" applyBorder="1" applyAlignment="1">
      <alignment horizontal="right" vertical="center"/>
    </xf>
    <xf numFmtId="0" fontId="17" fillId="0" borderId="1" xfId="18" applyFont="1" applyFill="1" applyBorder="1" applyAlignment="1">
      <alignment vertical="center" wrapText="1"/>
    </xf>
    <xf numFmtId="3" fontId="17" fillId="0" borderId="1" xfId="18" applyNumberFormat="1" applyFont="1" applyFill="1" applyBorder="1" applyAlignment="1">
      <alignment horizontal="right" wrapText="1"/>
    </xf>
    <xf numFmtId="0" fontId="10" fillId="0" borderId="1" xfId="18" applyFont="1" applyFill="1" applyBorder="1" applyAlignment="1">
      <alignment vertical="center" wrapText="1"/>
    </xf>
    <xf numFmtId="3" fontId="10" fillId="0" borderId="1" xfId="18" applyNumberFormat="1" applyFont="1" applyFill="1" applyBorder="1" applyAlignment="1">
      <alignment horizontal="right"/>
    </xf>
    <xf numFmtId="0" fontId="17" fillId="0" borderId="1" xfId="18" applyFont="1" applyFill="1" applyBorder="1" applyAlignment="1">
      <alignment horizontal="left" vertical="center" wrapText="1" indent="1"/>
    </xf>
    <xf numFmtId="3" fontId="17" fillId="0" borderId="1" xfId="18" applyNumberFormat="1" applyFont="1" applyFill="1" applyBorder="1" applyAlignment="1">
      <alignment vertical="center" wrapText="1"/>
    </xf>
    <xf numFmtId="9" fontId="17" fillId="0" borderId="1" xfId="18" applyNumberFormat="1" applyFont="1" applyFill="1" applyBorder="1" applyAlignment="1">
      <alignment horizontal="right" wrapText="1"/>
    </xf>
    <xf numFmtId="3" fontId="10" fillId="7" borderId="1" xfId="18" applyNumberFormat="1" applyFont="1" applyFill="1" applyBorder="1" applyAlignment="1">
      <alignment horizontal="right"/>
    </xf>
    <xf numFmtId="3" fontId="10" fillId="0" borderId="1" xfId="18" applyNumberFormat="1" applyFont="1" applyFill="1" applyBorder="1" applyAlignment="1">
      <alignment horizontal="right" wrapText="1"/>
    </xf>
    <xf numFmtId="0" fontId="17" fillId="2" borderId="1" xfId="18" applyFont="1" applyFill="1" applyBorder="1" applyAlignment="1">
      <alignment vertical="center" wrapText="1"/>
    </xf>
    <xf numFmtId="3" fontId="17" fillId="3" borderId="1" xfId="18" applyNumberFormat="1" applyFont="1" applyFill="1" applyBorder="1" applyAlignment="1">
      <alignment horizontal="right" wrapText="1"/>
    </xf>
    <xf numFmtId="3" fontId="17" fillId="0" borderId="1" xfId="18" applyNumberFormat="1" applyFont="1" applyFill="1" applyBorder="1" applyAlignment="1">
      <alignment horizontal="right"/>
    </xf>
    <xf numFmtId="0" fontId="10" fillId="0" borderId="1" xfId="18" applyFont="1" applyFill="1" applyBorder="1" applyAlignment="1">
      <alignment wrapText="1"/>
    </xf>
    <xf numFmtId="0" fontId="17" fillId="2" borderId="1" xfId="18" applyFont="1" applyFill="1" applyBorder="1" applyAlignment="1">
      <alignment wrapText="1"/>
    </xf>
    <xf numFmtId="1" fontId="20" fillId="0" borderId="2" xfId="18" applyNumberFormat="1" applyFont="1" applyFill="1" applyBorder="1" applyAlignment="1">
      <alignment wrapText="1"/>
    </xf>
    <xf numFmtId="3" fontId="21" fillId="0" borderId="1" xfId="18" applyNumberFormat="1" applyFont="1" applyFill="1" applyBorder="1" applyAlignment="1">
      <alignment horizontal="right" wrapText="1"/>
    </xf>
    <xf numFmtId="3" fontId="20" fillId="0" borderId="1" xfId="18" applyNumberFormat="1" applyFont="1" applyFill="1" applyBorder="1" applyAlignment="1">
      <alignment horizontal="right" wrapText="1"/>
    </xf>
    <xf numFmtId="1" fontId="21" fillId="0" borderId="0" xfId="0" applyNumberFormat="1" applyFont="1" applyFill="1"/>
    <xf numFmtId="0" fontId="10" fillId="0" borderId="1" xfId="18" applyFont="1" applyFill="1" applyBorder="1" applyAlignment="1">
      <alignment vertical="center"/>
    </xf>
    <xf numFmtId="3" fontId="10" fillId="0" borderId="1" xfId="0" applyNumberFormat="1" applyFont="1" applyFill="1" applyBorder="1" applyAlignment="1">
      <alignment horizontal="right"/>
    </xf>
    <xf numFmtId="164" fontId="10" fillId="0" borderId="2" xfId="12" applyNumberFormat="1" applyFont="1" applyFill="1" applyBorder="1" applyAlignment="1">
      <alignment vertical="center" wrapText="1"/>
    </xf>
    <xf numFmtId="164" fontId="10" fillId="0" borderId="1" xfId="12" applyNumberFormat="1" applyFont="1" applyFill="1" applyBorder="1" applyAlignment="1">
      <alignment horizontal="right" vertical="center" wrapText="1"/>
    </xf>
    <xf numFmtId="0" fontId="10" fillId="0" borderId="0" xfId="16" applyFont="1" applyFill="1"/>
    <xf numFmtId="0" fontId="17" fillId="0" borderId="1" xfId="18" applyFont="1" applyFill="1" applyBorder="1" applyAlignment="1">
      <alignment vertical="center"/>
    </xf>
    <xf numFmtId="3" fontId="17" fillId="7" borderId="1" xfId="18" applyNumberFormat="1" applyFont="1" applyFill="1" applyBorder="1" applyAlignment="1">
      <alignment horizontal="right" wrapText="1"/>
    </xf>
    <xf numFmtId="164" fontId="17" fillId="0" borderId="1" xfId="18" applyNumberFormat="1" applyFont="1" applyFill="1" applyBorder="1" applyAlignment="1">
      <alignment horizontal="right" vertical="center"/>
    </xf>
    <xf numFmtId="164" fontId="17" fillId="0" borderId="1" xfId="18" applyNumberFormat="1" applyFont="1" applyFill="1" applyBorder="1" applyAlignment="1">
      <alignment horizontal="right" wrapText="1"/>
    </xf>
    <xf numFmtId="0" fontId="10" fillId="0" borderId="0" xfId="0" applyFont="1" applyFill="1" applyBorder="1" applyAlignment="1"/>
    <xf numFmtId="164" fontId="10" fillId="0" borderId="0" xfId="0" applyNumberFormat="1" applyFont="1" applyFill="1" applyBorder="1" applyAlignment="1"/>
    <xf numFmtId="0" fontId="17" fillId="0" borderId="0" xfId="0" applyFont="1" applyFill="1" applyBorder="1" applyAlignment="1"/>
    <xf numFmtId="3" fontId="17" fillId="0" borderId="0" xfId="0" applyNumberFormat="1" applyFont="1" applyFill="1" applyBorder="1"/>
    <xf numFmtId="0" fontId="10" fillId="0" borderId="0" xfId="0" applyFont="1" applyFill="1" applyBorder="1" applyAlignment="1">
      <alignment horizontal="right"/>
    </xf>
    <xf numFmtId="3" fontId="10" fillId="0" borderId="0" xfId="0" applyNumberFormat="1" applyFont="1" applyFill="1" applyBorder="1"/>
    <xf numFmtId="169" fontId="17" fillId="0" borderId="0" xfId="0" applyNumberFormat="1" applyFont="1" applyFill="1" applyBorder="1" applyAlignment="1"/>
    <xf numFmtId="0" fontId="10" fillId="0" borderId="0" xfId="0" applyFont="1" applyFill="1" applyAlignment="1"/>
    <xf numFmtId="0" fontId="17" fillId="0" borderId="0" xfId="0" applyFont="1" applyFill="1" applyAlignment="1"/>
    <xf numFmtId="0" fontId="17" fillId="0" borderId="0" xfId="0" applyFont="1"/>
    <xf numFmtId="0" fontId="17" fillId="2" borderId="0" xfId="0" applyFont="1" applyFill="1" applyBorder="1" applyAlignment="1">
      <alignment horizontal="center"/>
    </xf>
    <xf numFmtId="3" fontId="26" fillId="0" borderId="0" xfId="0" applyNumberFormat="1" applyFont="1" applyFill="1" applyBorder="1" applyAlignment="1"/>
    <xf numFmtId="0" fontId="10" fillId="3" borderId="0" xfId="0" applyFont="1" applyFill="1" applyBorder="1" applyAlignment="1"/>
    <xf numFmtId="3" fontId="10" fillId="3" borderId="0" xfId="0" applyNumberFormat="1" applyFont="1" applyFill="1" applyBorder="1"/>
    <xf numFmtId="0" fontId="10" fillId="4" borderId="0" xfId="0" applyFont="1" applyFill="1" applyBorder="1" applyAlignment="1"/>
    <xf numFmtId="3" fontId="10" fillId="4" borderId="0" xfId="0" applyNumberFormat="1" applyFont="1" applyFill="1" applyBorder="1"/>
    <xf numFmtId="4" fontId="10" fillId="0" borderId="0" xfId="0" applyNumberFormat="1" applyFont="1" applyFill="1" applyBorder="1"/>
    <xf numFmtId="9" fontId="17" fillId="0" borderId="0" xfId="0" applyNumberFormat="1" applyFont="1" applyFill="1" applyBorder="1"/>
    <xf numFmtId="0" fontId="10" fillId="0" borderId="0" xfId="14" applyFont="1"/>
    <xf numFmtId="0" fontId="10" fillId="0" borderId="0" xfId="14" applyFont="1" applyAlignment="1">
      <alignment vertical="center"/>
    </xf>
    <xf numFmtId="0" fontId="10" fillId="0" borderId="0" xfId="14" applyFont="1" applyAlignment="1">
      <alignment horizontal="right" vertical="center"/>
    </xf>
    <xf numFmtId="0" fontId="10" fillId="0" borderId="0" xfId="14" applyFont="1" applyBorder="1" applyAlignment="1">
      <alignment vertical="center"/>
    </xf>
    <xf numFmtId="3" fontId="10" fillId="0" borderId="0" xfId="14" applyNumberFormat="1" applyFont="1" applyBorder="1" applyAlignment="1">
      <alignment horizontal="right" vertical="center"/>
    </xf>
    <xf numFmtId="0" fontId="10" fillId="0" borderId="0" xfId="14" applyFont="1" applyBorder="1" applyAlignment="1">
      <alignment horizontal="right" vertical="center"/>
    </xf>
    <xf numFmtId="0" fontId="10" fillId="0" borderId="0" xfId="14" applyFont="1" applyBorder="1" applyAlignment="1">
      <alignment horizontal="left" vertical="center"/>
    </xf>
    <xf numFmtId="0" fontId="10" fillId="0" borderId="0" xfId="0" applyFont="1"/>
    <xf numFmtId="0" fontId="10" fillId="3" borderId="1" xfId="0" applyFont="1" applyFill="1" applyBorder="1"/>
    <xf numFmtId="0" fontId="10" fillId="3" borderId="1" xfId="0" applyFont="1" applyFill="1" applyBorder="1" applyAlignment="1">
      <alignment horizontal="center"/>
    </xf>
    <xf numFmtId="0" fontId="10" fillId="0" borderId="1" xfId="0" applyFont="1" applyBorder="1"/>
    <xf numFmtId="4" fontId="10" fillId="2" borderId="1" xfId="0" applyNumberFormat="1" applyFont="1" applyFill="1" applyBorder="1"/>
    <xf numFmtId="0" fontId="10" fillId="0" borderId="1" xfId="0" applyFont="1" applyBorder="1" applyAlignment="1">
      <alignment horizontal="center"/>
    </xf>
    <xf numFmtId="9" fontId="10" fillId="2" borderId="1" xfId="0" applyNumberFormat="1" applyFont="1" applyFill="1" applyBorder="1"/>
    <xf numFmtId="0" fontId="10" fillId="7" borderId="1" xfId="0" applyFont="1" applyFill="1" applyBorder="1" applyAlignment="1">
      <alignment horizontal="right"/>
    </xf>
    <xf numFmtId="169" fontId="10" fillId="2" borderId="1" xfId="0" applyNumberFormat="1" applyFont="1" applyFill="1" applyBorder="1"/>
    <xf numFmtId="0" fontId="17" fillId="0" borderId="0" xfId="18" applyFont="1" applyFill="1" applyBorder="1" applyAlignment="1">
      <alignment horizontal="left" wrapText="1" shrinkToFit="1"/>
    </xf>
    <xf numFmtId="0" fontId="10" fillId="0" borderId="0" xfId="18" applyFont="1" applyFill="1" applyBorder="1" applyAlignment="1">
      <alignment wrapText="1" shrinkToFit="1"/>
    </xf>
    <xf numFmtId="0" fontId="17" fillId="0" borderId="0" xfId="18" applyFont="1" applyFill="1" applyBorder="1" applyAlignment="1">
      <alignment wrapText="1" shrinkToFit="1"/>
    </xf>
    <xf numFmtId="0" fontId="27" fillId="0" borderId="0" xfId="18" applyNumberFormat="1" applyFont="1" applyFill="1" applyBorder="1" applyAlignment="1">
      <alignment horizontal="left"/>
    </xf>
    <xf numFmtId="9" fontId="27" fillId="0" borderId="0" xfId="18" applyNumberFormat="1" applyFont="1" applyFill="1" applyBorder="1" applyAlignment="1">
      <alignment wrapText="1" shrinkToFit="1"/>
    </xf>
    <xf numFmtId="0" fontId="17" fillId="3" borderId="1" xfId="18" applyFont="1" applyFill="1" applyBorder="1" applyAlignment="1">
      <alignment horizontal="center" vertical="center" wrapText="1" shrinkToFit="1"/>
    </xf>
    <xf numFmtId="0" fontId="17" fillId="3" borderId="4" xfId="18" applyFont="1" applyFill="1" applyBorder="1" applyAlignment="1">
      <alignment horizontal="center" vertical="center" wrapText="1" shrinkToFit="1"/>
    </xf>
    <xf numFmtId="164" fontId="17" fillId="3" borderId="1" xfId="18" applyNumberFormat="1" applyFont="1" applyFill="1" applyBorder="1" applyAlignment="1">
      <alignment horizontal="center" vertical="center" wrapText="1" shrinkToFit="1"/>
    </xf>
    <xf numFmtId="0" fontId="17" fillId="3" borderId="5" xfId="18" applyFont="1" applyFill="1" applyBorder="1" applyAlignment="1">
      <alignment horizontal="center" vertical="center" wrapText="1" shrinkToFit="1"/>
    </xf>
    <xf numFmtId="3" fontId="10" fillId="3" borderId="1" xfId="18" applyNumberFormat="1" applyFont="1" applyFill="1" applyBorder="1" applyAlignment="1">
      <alignment horizontal="center" vertical="center" wrapText="1" shrinkToFit="1"/>
    </xf>
    <xf numFmtId="0" fontId="17" fillId="0" borderId="2" xfId="18" applyFont="1" applyFill="1" applyBorder="1" applyAlignment="1">
      <alignment horizontal="left" vertical="top" wrapText="1" shrinkToFit="1"/>
    </xf>
    <xf numFmtId="3" fontId="17" fillId="0" borderId="1" xfId="18" applyNumberFormat="1" applyFont="1" applyFill="1" applyBorder="1" applyAlignment="1">
      <alignment horizontal="center" vertical="center"/>
    </xf>
    <xf numFmtId="3" fontId="17" fillId="0" borderId="5" xfId="18" applyNumberFormat="1" applyFont="1" applyFill="1" applyBorder="1" applyAlignment="1">
      <alignment horizontal="center" vertical="center"/>
    </xf>
    <xf numFmtId="164" fontId="17" fillId="0" borderId="0" xfId="18" applyNumberFormat="1" applyFont="1" applyFill="1" applyBorder="1" applyAlignment="1" applyProtection="1">
      <alignment wrapText="1" shrinkToFit="1"/>
      <protection locked="0"/>
    </xf>
    <xf numFmtId="0" fontId="10" fillId="0" borderId="2" xfId="18" applyFont="1" applyFill="1" applyBorder="1" applyAlignment="1">
      <alignment horizontal="left" vertical="top" wrapText="1" indent="3" shrinkToFit="1"/>
    </xf>
    <xf numFmtId="3" fontId="10" fillId="0" borderId="5" xfId="18" applyNumberFormat="1" applyFont="1" applyFill="1" applyBorder="1" applyAlignment="1">
      <alignment horizontal="center" vertical="center"/>
    </xf>
    <xf numFmtId="3" fontId="17" fillId="0" borderId="5" xfId="18" applyNumberFormat="1" applyFont="1" applyFill="1" applyBorder="1" applyAlignment="1">
      <alignment horizontal="center" vertical="top"/>
    </xf>
    <xf numFmtId="0" fontId="10" fillId="0" borderId="2" xfId="18" applyFont="1" applyFill="1" applyBorder="1" applyAlignment="1">
      <alignment horizontal="left" vertical="top" wrapText="1" shrinkToFit="1"/>
    </xf>
    <xf numFmtId="164" fontId="17" fillId="0" borderId="1" xfId="18" applyNumberFormat="1" applyFont="1" applyFill="1" applyBorder="1" applyAlignment="1">
      <alignment horizontal="center" vertical="top"/>
    </xf>
    <xf numFmtId="164" fontId="17" fillId="0" borderId="5" xfId="18" applyNumberFormat="1" applyFont="1" applyFill="1" applyBorder="1" applyAlignment="1">
      <alignment horizontal="center" vertical="top"/>
    </xf>
    <xf numFmtId="0" fontId="10" fillId="0" borderId="0" xfId="18" applyFont="1" applyFill="1" applyBorder="1" applyAlignment="1">
      <alignment horizontal="left" vertical="top" wrapText="1" shrinkToFit="1"/>
    </xf>
    <xf numFmtId="0" fontId="10" fillId="0" borderId="0" xfId="18" applyFont="1" applyFill="1" applyBorder="1" applyAlignment="1">
      <alignment horizontal="left" vertical="top"/>
    </xf>
    <xf numFmtId="0" fontId="22" fillId="0" borderId="0" xfId="18" applyFont="1" applyFill="1" applyBorder="1" applyAlignment="1">
      <alignment wrapText="1" shrinkToFit="1"/>
    </xf>
    <xf numFmtId="0" fontId="17" fillId="3" borderId="4" xfId="18" applyFont="1" applyFill="1" applyBorder="1" applyAlignment="1">
      <alignment horizontal="center" vertical="center"/>
    </xf>
    <xf numFmtId="164" fontId="17" fillId="3" borderId="3" xfId="18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 wrapText="1" shrinkToFit="1"/>
    </xf>
    <xf numFmtId="0" fontId="10" fillId="0" borderId="0" xfId="0" applyFont="1" applyAlignment="1">
      <alignment vertical="center" wrapText="1" shrinkToFit="1"/>
    </xf>
    <xf numFmtId="0" fontId="17" fillId="3" borderId="1" xfId="18" applyFont="1" applyFill="1" applyBorder="1" applyAlignment="1">
      <alignment horizontal="right" vertical="center"/>
    </xf>
    <xf numFmtId="3" fontId="10" fillId="3" borderId="1" xfId="18" applyNumberFormat="1" applyFont="1" applyFill="1" applyBorder="1" applyAlignment="1">
      <alignment horizontal="center" vertical="center"/>
    </xf>
    <xf numFmtId="0" fontId="17" fillId="3" borderId="1" xfId="18" applyFont="1" applyFill="1" applyBorder="1" applyAlignment="1">
      <alignment horizontal="center" vertical="center"/>
    </xf>
    <xf numFmtId="164" fontId="10" fillId="0" borderId="1" xfId="15" applyNumberFormat="1" applyFont="1" applyBorder="1" applyAlignment="1">
      <alignment vertical="center" wrapText="1" shrinkToFit="1"/>
    </xf>
    <xf numFmtId="0" fontId="10" fillId="0" borderId="1" xfId="0" applyFont="1" applyBorder="1" applyAlignment="1">
      <alignment vertical="center"/>
    </xf>
    <xf numFmtId="3" fontId="10" fillId="0" borderId="1" xfId="0" applyNumberFormat="1" applyFont="1" applyBorder="1" applyAlignment="1">
      <alignment vertical="center"/>
    </xf>
    <xf numFmtId="3" fontId="17" fillId="0" borderId="1" xfId="0" applyNumberFormat="1" applyFont="1" applyBorder="1" applyAlignment="1">
      <alignment vertical="center"/>
    </xf>
    <xf numFmtId="164" fontId="28" fillId="0" borderId="0" xfId="18" applyNumberFormat="1" applyFont="1" applyFill="1" applyBorder="1" applyAlignment="1">
      <alignment wrapText="1" shrinkToFit="1"/>
    </xf>
    <xf numFmtId="0" fontId="17" fillId="0" borderId="0" xfId="19" applyFont="1" applyFill="1" applyBorder="1" applyAlignment="1">
      <alignment horizontal="left" wrapText="1" shrinkToFit="1"/>
    </xf>
    <xf numFmtId="0" fontId="10" fillId="0" borderId="0" xfId="19" applyFont="1" applyFill="1" applyBorder="1" applyAlignment="1">
      <alignment wrapText="1" shrinkToFit="1"/>
    </xf>
    <xf numFmtId="3" fontId="10" fillId="0" borderId="0" xfId="19" applyNumberFormat="1" applyFont="1" applyFill="1" applyBorder="1" applyAlignment="1">
      <alignment wrapText="1" shrinkToFit="1"/>
    </xf>
    <xf numFmtId="0" fontId="17" fillId="3" borderId="1" xfId="19" applyFont="1" applyFill="1" applyBorder="1" applyAlignment="1">
      <alignment horizontal="center" vertical="center"/>
    </xf>
    <xf numFmtId="0" fontId="17" fillId="3" borderId="4" xfId="19" applyFont="1" applyFill="1" applyBorder="1" applyAlignment="1">
      <alignment horizontal="center" vertical="center"/>
    </xf>
    <xf numFmtId="164" fontId="17" fillId="3" borderId="1" xfId="19" applyNumberFormat="1" applyFont="1" applyFill="1" applyBorder="1" applyAlignment="1">
      <alignment horizontal="center" vertical="center"/>
    </xf>
    <xf numFmtId="0" fontId="17" fillId="3" borderId="5" xfId="19" applyFont="1" applyFill="1" applyBorder="1" applyAlignment="1">
      <alignment horizontal="center" vertical="center"/>
    </xf>
    <xf numFmtId="3" fontId="10" fillId="3" borderId="1" xfId="19" applyNumberFormat="1" applyFont="1" applyFill="1" applyBorder="1" applyAlignment="1">
      <alignment horizontal="center" vertical="center"/>
    </xf>
    <xf numFmtId="0" fontId="17" fillId="0" borderId="2" xfId="19" applyFont="1" applyFill="1" applyBorder="1" applyAlignment="1">
      <alignment horizontal="left" vertical="top" wrapText="1" shrinkToFit="1"/>
    </xf>
    <xf numFmtId="3" fontId="17" fillId="0" borderId="1" xfId="19" applyNumberFormat="1" applyFont="1" applyFill="1" applyBorder="1" applyAlignment="1">
      <alignment horizontal="center" vertical="center"/>
    </xf>
    <xf numFmtId="3" fontId="17" fillId="0" borderId="5" xfId="19" applyNumberFormat="1" applyFont="1" applyFill="1" applyBorder="1" applyAlignment="1">
      <alignment horizontal="center" vertical="center"/>
    </xf>
    <xf numFmtId="164" fontId="17" fillId="0" borderId="0" xfId="19" applyNumberFormat="1" applyFont="1" applyFill="1" applyBorder="1" applyAlignment="1" applyProtection="1">
      <alignment wrapText="1" shrinkToFit="1"/>
      <protection locked="0"/>
    </xf>
    <xf numFmtId="0" fontId="17" fillId="0" borderId="0" xfId="19" applyFont="1" applyFill="1" applyBorder="1" applyAlignment="1">
      <alignment wrapText="1" shrinkToFit="1"/>
    </xf>
    <xf numFmtId="0" fontId="10" fillId="0" borderId="2" xfId="19" applyFont="1" applyFill="1" applyBorder="1" applyAlignment="1">
      <alignment horizontal="left" vertical="top" wrapText="1" indent="1" shrinkToFit="1"/>
    </xf>
    <xf numFmtId="3" fontId="10" fillId="0" borderId="5" xfId="19" applyNumberFormat="1" applyFont="1" applyFill="1" applyBorder="1" applyAlignment="1">
      <alignment horizontal="center" vertical="center"/>
    </xf>
    <xf numFmtId="3" fontId="10" fillId="0" borderId="1" xfId="19" applyNumberFormat="1" applyFont="1" applyFill="1" applyBorder="1" applyAlignment="1">
      <alignment horizontal="center" vertical="center"/>
    </xf>
    <xf numFmtId="0" fontId="10" fillId="0" borderId="0" xfId="19" applyFont="1" applyFill="1" applyBorder="1" applyAlignment="1">
      <alignment horizontal="left" vertical="top" wrapText="1" shrinkToFit="1"/>
    </xf>
    <xf numFmtId="0" fontId="10" fillId="0" borderId="0" xfId="19" applyFont="1" applyFill="1" applyBorder="1" applyAlignment="1">
      <alignment horizontal="left" vertical="top"/>
    </xf>
    <xf numFmtId="0" fontId="18" fillId="0" borderId="6" xfId="19" applyFont="1" applyFill="1" applyBorder="1" applyAlignment="1">
      <alignment wrapText="1" shrinkToFit="1"/>
    </xf>
    <xf numFmtId="0" fontId="10" fillId="0" borderId="6" xfId="19" applyFont="1" applyFill="1" applyBorder="1" applyAlignment="1">
      <alignment wrapText="1" shrinkToFit="1"/>
    </xf>
    <xf numFmtId="4" fontId="10" fillId="0" borderId="6" xfId="19" applyNumberFormat="1" applyFont="1" applyFill="1" applyBorder="1" applyAlignment="1">
      <alignment wrapText="1" shrinkToFit="1"/>
    </xf>
    <xf numFmtId="3" fontId="10" fillId="0" borderId="6" xfId="19" applyNumberFormat="1" applyFont="1" applyFill="1" applyBorder="1" applyAlignment="1">
      <alignment wrapText="1" shrinkToFit="1"/>
    </xf>
    <xf numFmtId="0" fontId="17" fillId="0" borderId="0" xfId="0" applyFont="1" applyAlignment="1">
      <alignment horizontal="center"/>
    </xf>
    <xf numFmtId="0" fontId="17" fillId="3" borderId="1" xfId="0" applyFont="1" applyFill="1" applyBorder="1"/>
    <xf numFmtId="0" fontId="17" fillId="3" borderId="1" xfId="0" applyFont="1" applyFill="1" applyBorder="1" applyAlignment="1">
      <alignment horizontal="center"/>
    </xf>
    <xf numFmtId="0" fontId="17" fillId="5" borderId="1" xfId="0" applyFont="1" applyFill="1" applyBorder="1"/>
    <xf numFmtId="3" fontId="17" fillId="5" borderId="1" xfId="0" applyNumberFormat="1" applyFont="1" applyFill="1" applyBorder="1"/>
    <xf numFmtId="3" fontId="10" fillId="7" borderId="1" xfId="0" applyNumberFormat="1" applyFont="1" applyFill="1" applyBorder="1"/>
    <xf numFmtId="3" fontId="10" fillId="0" borderId="1" xfId="0" applyNumberFormat="1" applyFont="1" applyFill="1" applyBorder="1"/>
    <xf numFmtId="0" fontId="10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10" fillId="2" borderId="1" xfId="0" applyFont="1" applyFill="1" applyBorder="1"/>
    <xf numFmtId="0" fontId="10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vertical="center" wrapText="1" shrinkToFit="1"/>
    </xf>
    <xf numFmtId="0" fontId="17" fillId="5" borderId="1" xfId="0" applyFont="1" applyFill="1" applyBorder="1" applyAlignment="1">
      <alignment horizontal="left" vertical="center" wrapText="1" shrinkToFit="1"/>
    </xf>
    <xf numFmtId="3" fontId="10" fillId="0" borderId="1" xfId="0" applyNumberFormat="1" applyFont="1" applyBorder="1"/>
    <xf numFmtId="3" fontId="17" fillId="0" borderId="1" xfId="0" applyNumberFormat="1" applyFont="1" applyBorder="1"/>
    <xf numFmtId="0" fontId="17" fillId="0" borderId="1" xfId="0" applyFont="1" applyBorder="1"/>
    <xf numFmtId="0" fontId="17" fillId="0" borderId="1" xfId="0" applyFont="1" applyBorder="1" applyAlignment="1">
      <alignment horizontal="left" vertical="center" wrapText="1" shrinkToFit="1"/>
    </xf>
    <xf numFmtId="9" fontId="17" fillId="0" borderId="0" xfId="0" applyNumberFormat="1" applyFont="1"/>
    <xf numFmtId="3" fontId="17" fillId="6" borderId="1" xfId="0" applyNumberFormat="1" applyFont="1" applyFill="1" applyBorder="1"/>
    <xf numFmtId="9" fontId="10" fillId="0" borderId="1" xfId="0" applyNumberFormat="1" applyFont="1" applyFill="1" applyBorder="1"/>
    <xf numFmtId="0" fontId="10" fillId="0" borderId="0" xfId="0" applyFont="1" applyBorder="1"/>
    <xf numFmtId="3" fontId="10" fillId="0" borderId="0" xfId="0" applyNumberFormat="1" applyFont="1" applyBorder="1"/>
    <xf numFmtId="9" fontId="10" fillId="0" borderId="0" xfId="0" applyNumberFormat="1" applyFont="1" applyBorder="1"/>
    <xf numFmtId="168" fontId="10" fillId="0" borderId="0" xfId="0" applyNumberFormat="1" applyFont="1" applyBorder="1"/>
    <xf numFmtId="1" fontId="10" fillId="0" borderId="1" xfId="0" applyNumberFormat="1" applyFont="1" applyFill="1" applyBorder="1"/>
    <xf numFmtId="0" fontId="22" fillId="0" borderId="0" xfId="0" applyFont="1" applyAlignment="1"/>
    <xf numFmtId="0" fontId="10" fillId="0" borderId="1" xfId="0" applyFont="1" applyBorder="1" applyAlignment="1">
      <alignment wrapText="1"/>
    </xf>
    <xf numFmtId="3" fontId="17" fillId="3" borderId="1" xfId="0" applyNumberFormat="1" applyFont="1" applyFill="1" applyBorder="1"/>
    <xf numFmtId="169" fontId="10" fillId="0" borderId="0" xfId="0" applyNumberFormat="1" applyFont="1"/>
    <xf numFmtId="165" fontId="10" fillId="2" borderId="1" xfId="20" applyNumberFormat="1" applyFont="1" applyFill="1" applyBorder="1"/>
    <xf numFmtId="169" fontId="10" fillId="0" borderId="1" xfId="0" applyNumberFormat="1" applyFont="1" applyBorder="1"/>
    <xf numFmtId="178" fontId="10" fillId="0" borderId="0" xfId="0" applyNumberFormat="1" applyFont="1"/>
    <xf numFmtId="165" fontId="10" fillId="0" borderId="1" xfId="20" applyNumberFormat="1" applyFont="1" applyFill="1" applyBorder="1"/>
    <xf numFmtId="3" fontId="10" fillId="0" borderId="0" xfId="0" applyNumberFormat="1" applyFont="1" applyFill="1"/>
    <xf numFmtId="9" fontId="10" fillId="0" borderId="1" xfId="20" applyFont="1" applyFill="1" applyBorder="1"/>
    <xf numFmtId="177" fontId="10" fillId="0" borderId="1" xfId="24" applyNumberFormat="1" applyFont="1" applyBorder="1"/>
    <xf numFmtId="9" fontId="10" fillId="2" borderId="1" xfId="20" applyFont="1" applyFill="1" applyBorder="1"/>
    <xf numFmtId="0" fontId="10" fillId="0" borderId="2" xfId="0" applyFont="1" applyBorder="1"/>
    <xf numFmtId="0" fontId="17" fillId="3" borderId="5" xfId="0" applyFont="1" applyFill="1" applyBorder="1" applyAlignment="1">
      <alignment horizontal="center"/>
    </xf>
    <xf numFmtId="0" fontId="10" fillId="0" borderId="0" xfId="13" applyFont="1" applyFill="1" applyProtection="1">
      <protection locked="0"/>
    </xf>
    <xf numFmtId="0" fontId="17" fillId="0" borderId="0" xfId="13" applyFont="1" applyFill="1" applyProtection="1">
      <protection locked="0"/>
    </xf>
    <xf numFmtId="9" fontId="18" fillId="0" borderId="0" xfId="13" applyNumberFormat="1" applyFont="1" applyFill="1" applyProtection="1">
      <protection locked="0"/>
    </xf>
    <xf numFmtId="164" fontId="10" fillId="0" borderId="0" xfId="13" applyNumberFormat="1" applyFont="1" applyFill="1" applyProtection="1">
      <protection locked="0"/>
    </xf>
    <xf numFmtId="164" fontId="18" fillId="0" borderId="0" xfId="13" applyNumberFormat="1" applyFont="1" applyFill="1" applyProtection="1">
      <protection locked="0"/>
    </xf>
    <xf numFmtId="9" fontId="17" fillId="0" borderId="0" xfId="13" applyNumberFormat="1" applyFont="1" applyFill="1" applyProtection="1">
      <protection locked="0"/>
    </xf>
    <xf numFmtId="0" fontId="22" fillId="0" borderId="0" xfId="13" applyFont="1" applyFill="1" applyProtection="1">
      <protection locked="0"/>
    </xf>
    <xf numFmtId="0" fontId="17" fillId="0" borderId="1" xfId="13" applyFont="1" applyFill="1" applyBorder="1" applyProtection="1">
      <protection locked="0"/>
    </xf>
    <xf numFmtId="3" fontId="10" fillId="0" borderId="1" xfId="13" applyNumberFormat="1" applyFont="1" applyFill="1" applyBorder="1" applyAlignment="1" applyProtection="1">
      <alignment horizontal="center"/>
      <protection locked="0"/>
    </xf>
    <xf numFmtId="0" fontId="10" fillId="0" borderId="1" xfId="13" applyFont="1" applyFill="1" applyBorder="1" applyAlignment="1" applyProtection="1">
      <alignment vertical="top"/>
      <protection locked="0"/>
    </xf>
    <xf numFmtId="165" fontId="18" fillId="0" borderId="0" xfId="13" applyNumberFormat="1" applyFont="1" applyFill="1" applyProtection="1">
      <protection locked="0"/>
    </xf>
    <xf numFmtId="0" fontId="10" fillId="0" borderId="1" xfId="17" applyFont="1" applyFill="1" applyBorder="1" applyAlignment="1">
      <alignment horizontal="left" vertical="center" wrapText="1"/>
    </xf>
    <xf numFmtId="0" fontId="17" fillId="0" borderId="1" xfId="17" applyFont="1" applyFill="1" applyBorder="1" applyAlignment="1">
      <alignment horizontal="center" vertical="center"/>
    </xf>
    <xf numFmtId="0" fontId="10" fillId="0" borderId="1" xfId="19" applyFont="1" applyFill="1" applyBorder="1" applyAlignment="1">
      <alignment horizontal="center" vertical="center"/>
    </xf>
    <xf numFmtId="0" fontId="17" fillId="0" borderId="1" xfId="19" applyFont="1" applyFill="1" applyBorder="1" applyAlignment="1">
      <alignment horizontal="center" vertical="center"/>
    </xf>
    <xf numFmtId="0" fontId="10" fillId="0" borderId="0" xfId="13" applyFont="1" applyFill="1" applyAlignment="1" applyProtection="1">
      <alignment horizontal="center"/>
      <protection locked="0"/>
    </xf>
    <xf numFmtId="164" fontId="10" fillId="0" borderId="1" xfId="17" applyNumberFormat="1" applyFont="1" applyFill="1" applyBorder="1" applyAlignment="1">
      <alignment horizontal="right" vertical="center"/>
    </xf>
    <xf numFmtId="164" fontId="10" fillId="0" borderId="1" xfId="13" applyNumberFormat="1" applyFont="1" applyFill="1" applyBorder="1" applyAlignment="1" applyProtection="1">
      <protection locked="0"/>
    </xf>
    <xf numFmtId="164" fontId="17" fillId="0" borderId="1" xfId="13" applyNumberFormat="1" applyFont="1" applyFill="1" applyBorder="1" applyAlignment="1" applyProtection="1">
      <protection locked="0"/>
    </xf>
    <xf numFmtId="0" fontId="10" fillId="0" borderId="0" xfId="13" applyFont="1" applyFill="1" applyAlignment="1" applyProtection="1">
      <protection locked="0"/>
    </xf>
    <xf numFmtId="0" fontId="10" fillId="0" borderId="0" xfId="13" applyFont="1" applyFill="1" applyAlignment="1" applyProtection="1">
      <alignment vertical="center"/>
      <protection locked="0"/>
    </xf>
    <xf numFmtId="0" fontId="10" fillId="4" borderId="1" xfId="17" applyFont="1" applyFill="1" applyBorder="1" applyAlignment="1">
      <alignment horizontal="left" vertical="center" wrapText="1" indent="2"/>
    </xf>
    <xf numFmtId="164" fontId="10" fillId="8" borderId="1" xfId="13" applyNumberFormat="1" applyFont="1" applyFill="1" applyBorder="1" applyAlignment="1" applyProtection="1">
      <protection locked="0"/>
    </xf>
    <xf numFmtId="164" fontId="10" fillId="0" borderId="0" xfId="13" applyNumberFormat="1" applyFont="1" applyFill="1" applyAlignment="1" applyProtection="1">
      <protection locked="0"/>
    </xf>
    <xf numFmtId="164" fontId="28" fillId="0" borderId="0" xfId="13" applyNumberFormat="1" applyFont="1" applyFill="1" applyProtection="1">
      <protection locked="0"/>
    </xf>
    <xf numFmtId="3" fontId="10" fillId="0" borderId="0" xfId="0" applyNumberFormat="1" applyFont="1"/>
    <xf numFmtId="179" fontId="10" fillId="0" borderId="0" xfId="0" applyNumberFormat="1" applyFont="1"/>
    <xf numFmtId="0" fontId="17" fillId="3" borderId="1" xfId="0" applyFont="1" applyFill="1" applyBorder="1" applyAlignment="1">
      <alignment horizontal="center" vertical="center" wrapText="1" shrinkToFit="1"/>
    </xf>
    <xf numFmtId="1" fontId="10" fillId="3" borderId="5" xfId="18" applyNumberFormat="1" applyFont="1" applyFill="1" applyBorder="1" applyAlignment="1">
      <alignment horizontal="center" vertical="center" wrapText="1" shrinkToFit="1"/>
    </xf>
    <xf numFmtId="0" fontId="17" fillId="5" borderId="1" xfId="0" applyFont="1" applyFill="1" applyBorder="1" applyAlignment="1">
      <alignment horizontal="left"/>
    </xf>
    <xf numFmtId="3" fontId="17" fillId="5" borderId="1" xfId="0" applyNumberFormat="1" applyFont="1" applyFill="1" applyBorder="1" applyAlignment="1">
      <alignment horizontal="center"/>
    </xf>
    <xf numFmtId="0" fontId="10" fillId="0" borderId="1" xfId="0" applyFont="1" applyBorder="1" applyAlignment="1">
      <alignment horizontal="left"/>
    </xf>
    <xf numFmtId="49" fontId="10" fillId="0" borderId="1" xfId="0" applyNumberFormat="1" applyFont="1" applyBorder="1" applyAlignment="1">
      <alignment horizontal="left"/>
    </xf>
    <xf numFmtId="0" fontId="10" fillId="0" borderId="0" xfId="0" applyFont="1" applyAlignment="1">
      <alignment horizontal="right"/>
    </xf>
    <xf numFmtId="3" fontId="17" fillId="0" borderId="0" xfId="0" applyNumberFormat="1" applyFont="1"/>
    <xf numFmtId="0" fontId="17" fillId="0" borderId="6" xfId="0" applyFont="1" applyBorder="1" applyAlignment="1">
      <alignment horizontal="center"/>
    </xf>
    <xf numFmtId="0" fontId="23" fillId="0" borderId="1" xfId="0" applyFont="1" applyBorder="1" applyAlignment="1">
      <alignment horizontal="justify" vertical="top" wrapText="1"/>
    </xf>
    <xf numFmtId="3" fontId="10" fillId="0" borderId="1" xfId="0" applyNumberFormat="1" applyFont="1" applyBorder="1" applyAlignment="1">
      <alignment horizontal="right"/>
    </xf>
    <xf numFmtId="3" fontId="23" fillId="0" borderId="1" xfId="0" applyNumberFormat="1" applyFont="1" applyFill="1" applyBorder="1" applyAlignment="1">
      <alignment horizontal="right" vertical="top" wrapText="1"/>
    </xf>
    <xf numFmtId="3" fontId="23" fillId="0" borderId="1" xfId="0" applyNumberFormat="1" applyFont="1" applyBorder="1" applyAlignment="1">
      <alignment horizontal="right" vertical="top" wrapText="1"/>
    </xf>
    <xf numFmtId="176" fontId="23" fillId="0" borderId="1" xfId="0" applyNumberFormat="1" applyFont="1" applyBorder="1" applyAlignment="1">
      <alignment horizontal="right" vertical="top" wrapText="1"/>
    </xf>
    <xf numFmtId="0" fontId="24" fillId="0" borderId="1" xfId="0" applyFont="1" applyBorder="1" applyAlignment="1">
      <alignment horizontal="justify" vertical="top" wrapText="1"/>
    </xf>
    <xf numFmtId="9" fontId="24" fillId="0" borderId="1" xfId="0" applyNumberFormat="1" applyFont="1" applyBorder="1" applyAlignment="1">
      <alignment horizontal="right" vertical="top" wrapText="1"/>
    </xf>
    <xf numFmtId="9" fontId="23" fillId="0" borderId="1" xfId="0" applyNumberFormat="1" applyFont="1" applyBorder="1" applyAlignment="1">
      <alignment horizontal="right" vertical="top" wrapText="1"/>
    </xf>
    <xf numFmtId="0" fontId="17" fillId="9" borderId="1" xfId="0" applyFont="1" applyFill="1" applyBorder="1"/>
    <xf numFmtId="3" fontId="17" fillId="9" borderId="1" xfId="0" applyNumberFormat="1" applyFont="1" applyFill="1" applyBorder="1"/>
    <xf numFmtId="0" fontId="10" fillId="0" borderId="1" xfId="0" applyFont="1" applyBorder="1" applyAlignment="1">
      <alignment horizontal="center" vertical="center"/>
    </xf>
    <xf numFmtId="3" fontId="10" fillId="2" borderId="1" xfId="0" applyNumberFormat="1" applyFont="1" applyFill="1" applyBorder="1" applyAlignment="1">
      <alignment vertical="center"/>
    </xf>
    <xf numFmtId="0" fontId="10" fillId="2" borderId="1" xfId="0" applyFont="1" applyFill="1" applyBorder="1" applyAlignment="1">
      <alignment horizontal="center" vertical="center"/>
    </xf>
    <xf numFmtId="0" fontId="17" fillId="3" borderId="1" xfId="0" applyFont="1" applyFill="1" applyBorder="1" applyAlignment="1">
      <alignment horizontal="center" vertical="center" wrapText="1"/>
    </xf>
    <xf numFmtId="0" fontId="10" fillId="0" borderId="1" xfId="14" applyFont="1" applyBorder="1" applyAlignment="1">
      <alignment vertical="center"/>
    </xf>
    <xf numFmtId="3" fontId="10" fillId="0" borderId="1" xfId="14" applyNumberFormat="1" applyFont="1" applyFill="1" applyBorder="1" applyAlignment="1">
      <alignment horizontal="right" vertical="center"/>
    </xf>
    <xf numFmtId="0" fontId="17" fillId="0" borderId="1" xfId="14" applyFont="1" applyBorder="1" applyAlignment="1">
      <alignment vertical="center"/>
    </xf>
    <xf numFmtId="3" fontId="17" fillId="0" borderId="1" xfId="14" applyNumberFormat="1" applyFont="1" applyFill="1" applyBorder="1" applyAlignment="1">
      <alignment horizontal="right" vertical="center"/>
    </xf>
    <xf numFmtId="0" fontId="17" fillId="9" borderId="2" xfId="15" applyFont="1" applyFill="1" applyBorder="1" applyAlignment="1">
      <alignment vertical="center"/>
    </xf>
    <xf numFmtId="9" fontId="10" fillId="0" borderId="1" xfId="14" applyNumberFormat="1" applyFont="1" applyFill="1" applyBorder="1" applyAlignment="1">
      <alignment horizontal="right" vertical="center"/>
    </xf>
    <xf numFmtId="9" fontId="17" fillId="0" borderId="1" xfId="14" applyNumberFormat="1" applyFont="1" applyFill="1" applyBorder="1" applyAlignment="1">
      <alignment horizontal="right" vertical="center"/>
    </xf>
    <xf numFmtId="49" fontId="10" fillId="0" borderId="1" xfId="14" applyNumberFormat="1" applyFont="1" applyFill="1" applyBorder="1" applyAlignment="1">
      <alignment horizontal="right" vertical="center"/>
    </xf>
    <xf numFmtId="0" fontId="10" fillId="7" borderId="0" xfId="14" applyFont="1" applyFill="1"/>
    <xf numFmtId="169" fontId="10" fillId="0" borderId="1" xfId="14" applyNumberFormat="1" applyFont="1" applyFill="1" applyBorder="1" applyAlignment="1">
      <alignment horizontal="right" vertical="center"/>
    </xf>
    <xf numFmtId="0" fontId="17" fillId="0" borderId="0" xfId="14" applyFont="1" applyAlignment="1">
      <alignment vertical="center"/>
    </xf>
    <xf numFmtId="0" fontId="10" fillId="0" borderId="1" xfId="14" applyFont="1" applyBorder="1" applyAlignment="1">
      <alignment vertical="center" wrapText="1"/>
    </xf>
    <xf numFmtId="9" fontId="10" fillId="9" borderId="1" xfId="14" applyNumberFormat="1" applyFont="1" applyFill="1" applyBorder="1" applyAlignment="1">
      <alignment horizontal="right" vertical="center"/>
    </xf>
    <xf numFmtId="3" fontId="10" fillId="9" borderId="1" xfId="14" applyNumberFormat="1" applyFont="1" applyFill="1" applyBorder="1" applyAlignment="1">
      <alignment horizontal="right" vertical="center"/>
    </xf>
    <xf numFmtId="3" fontId="10" fillId="0" borderId="1" xfId="0" applyNumberFormat="1" applyFont="1" applyFill="1" applyBorder="1" applyAlignment="1">
      <alignment horizontal="center"/>
    </xf>
    <xf numFmtId="168" fontId="10" fillId="0" borderId="1" xfId="14" applyNumberFormat="1" applyFont="1" applyFill="1" applyBorder="1" applyAlignment="1">
      <alignment horizontal="right" vertical="center"/>
    </xf>
    <xf numFmtId="0" fontId="17" fillId="3" borderId="1" xfId="0" applyFont="1" applyFill="1" applyBorder="1" applyAlignment="1">
      <alignment vertical="center"/>
    </xf>
    <xf numFmtId="0" fontId="17" fillId="9" borderId="1" xfId="0" applyFont="1" applyFill="1" applyBorder="1" applyAlignment="1">
      <alignment horizontal="center"/>
    </xf>
    <xf numFmtId="169" fontId="10" fillId="7" borderId="1" xfId="0" applyNumberFormat="1" applyFont="1" applyFill="1" applyBorder="1"/>
    <xf numFmtId="49" fontId="10" fillId="0" borderId="1" xfId="0" applyNumberFormat="1" applyFont="1" applyBorder="1" applyAlignment="1">
      <alignment horizontal="left" wrapText="1"/>
    </xf>
    <xf numFmtId="3" fontId="10" fillId="7" borderId="1" xfId="0" applyNumberFormat="1" applyFont="1" applyFill="1" applyBorder="1" applyAlignment="1">
      <alignment horizontal="center"/>
    </xf>
    <xf numFmtId="9" fontId="10" fillId="7" borderId="1" xfId="0" applyNumberFormat="1" applyFont="1" applyFill="1" applyBorder="1"/>
    <xf numFmtId="0" fontId="25" fillId="0" borderId="0" xfId="0" applyFont="1"/>
    <xf numFmtId="165" fontId="10" fillId="2" borderId="1" xfId="0" applyNumberFormat="1" applyFont="1" applyFill="1" applyBorder="1"/>
    <xf numFmtId="0" fontId="17" fillId="5" borderId="4" xfId="0" applyFont="1" applyFill="1" applyBorder="1"/>
    <xf numFmtId="0" fontId="17" fillId="5" borderId="4" xfId="0" applyFont="1" applyFill="1" applyBorder="1" applyAlignment="1">
      <alignment horizontal="center"/>
    </xf>
    <xf numFmtId="3" fontId="17" fillId="5" borderId="4" xfId="0" applyNumberFormat="1" applyFont="1" applyFill="1" applyBorder="1" applyAlignment="1">
      <alignment horizontal="center" wrapText="1" shrinkToFit="1"/>
    </xf>
    <xf numFmtId="3" fontId="17" fillId="5" borderId="4" xfId="0" applyNumberFormat="1" applyFont="1" applyFill="1" applyBorder="1"/>
    <xf numFmtId="0" fontId="10" fillId="0" borderId="7" xfId="0" applyFont="1" applyBorder="1"/>
    <xf numFmtId="0" fontId="10" fillId="0" borderId="8" xfId="0" applyFont="1" applyFill="1" applyBorder="1" applyAlignment="1">
      <alignment horizontal="center"/>
    </xf>
    <xf numFmtId="3" fontId="10" fillId="0" borderId="8" xfId="0" applyNumberFormat="1" applyFont="1" applyFill="1" applyBorder="1"/>
    <xf numFmtId="169" fontId="10" fillId="0" borderId="8" xfId="0" applyNumberFormat="1" applyFont="1" applyFill="1" applyBorder="1"/>
    <xf numFmtId="3" fontId="10" fillId="10" borderId="8" xfId="0" applyNumberFormat="1" applyFont="1" applyFill="1" applyBorder="1"/>
    <xf numFmtId="3" fontId="10" fillId="0" borderId="8" xfId="0" applyNumberFormat="1" applyFont="1" applyBorder="1"/>
    <xf numFmtId="3" fontId="10" fillId="0" borderId="9" xfId="0" applyNumberFormat="1" applyFont="1" applyBorder="1"/>
    <xf numFmtId="0" fontId="10" fillId="0" borderId="10" xfId="0" applyFont="1" applyBorder="1" applyAlignment="1">
      <alignment wrapText="1"/>
    </xf>
    <xf numFmtId="0" fontId="10" fillId="0" borderId="1" xfId="0" applyFont="1" applyFill="1" applyBorder="1" applyAlignment="1">
      <alignment horizontal="center"/>
    </xf>
    <xf numFmtId="165" fontId="10" fillId="0" borderId="1" xfId="0" applyNumberFormat="1" applyFont="1" applyFill="1" applyBorder="1"/>
    <xf numFmtId="3" fontId="10" fillId="11" borderId="1" xfId="0" applyNumberFormat="1" applyFont="1" applyFill="1" applyBorder="1"/>
    <xf numFmtId="3" fontId="10" fillId="7" borderId="11" xfId="0" applyNumberFormat="1" applyFont="1" applyFill="1" applyBorder="1"/>
    <xf numFmtId="3" fontId="10" fillId="0" borderId="11" xfId="0" applyNumberFormat="1" applyFont="1" applyFill="1" applyBorder="1"/>
    <xf numFmtId="0" fontId="10" fillId="0" borderId="10" xfId="0" applyFont="1" applyBorder="1"/>
    <xf numFmtId="0" fontId="10" fillId="0" borderId="12" xfId="0" applyFont="1" applyBorder="1"/>
    <xf numFmtId="0" fontId="10" fillId="0" borderId="13" xfId="0" applyFont="1" applyFill="1" applyBorder="1" applyAlignment="1">
      <alignment horizontal="center"/>
    </xf>
    <xf numFmtId="3" fontId="10" fillId="0" borderId="13" xfId="0" applyNumberFormat="1" applyFont="1" applyFill="1" applyBorder="1"/>
    <xf numFmtId="3" fontId="10" fillId="0" borderId="14" xfId="0" applyNumberFormat="1" applyFont="1" applyFill="1" applyBorder="1"/>
    <xf numFmtId="0" fontId="10" fillId="12" borderId="15" xfId="0" applyFont="1" applyFill="1" applyBorder="1"/>
    <xf numFmtId="0" fontId="10" fillId="12" borderId="15" xfId="0" applyFont="1" applyFill="1" applyBorder="1" applyAlignment="1">
      <alignment horizontal="center"/>
    </xf>
    <xf numFmtId="3" fontId="10" fillId="12" borderId="15" xfId="0" applyNumberFormat="1" applyFont="1" applyFill="1" applyBorder="1"/>
    <xf numFmtId="165" fontId="10" fillId="12" borderId="15" xfId="0" applyNumberFormat="1" applyFont="1" applyFill="1" applyBorder="1"/>
    <xf numFmtId="3" fontId="10" fillId="12" borderId="16" xfId="0" applyNumberFormat="1" applyFont="1" applyFill="1" applyBorder="1"/>
    <xf numFmtId="165" fontId="10" fillId="0" borderId="13" xfId="0" applyNumberFormat="1" applyFont="1" applyFill="1" applyBorder="1"/>
    <xf numFmtId="3" fontId="10" fillId="11" borderId="11" xfId="0" applyNumberFormat="1" applyFont="1" applyFill="1" applyBorder="1"/>
    <xf numFmtId="3" fontId="10" fillId="0" borderId="11" xfId="0" applyNumberFormat="1" applyFont="1" applyBorder="1"/>
    <xf numFmtId="0" fontId="10" fillId="0" borderId="17" xfId="0" applyFont="1" applyBorder="1"/>
    <xf numFmtId="0" fontId="10" fillId="0" borderId="15" xfId="0" applyFont="1" applyFill="1" applyBorder="1" applyAlignment="1">
      <alignment horizontal="center"/>
    </xf>
    <xf numFmtId="3" fontId="10" fillId="0" borderId="15" xfId="0" applyNumberFormat="1" applyFont="1" applyFill="1" applyBorder="1"/>
    <xf numFmtId="3" fontId="10" fillId="0" borderId="16" xfId="0" applyNumberFormat="1" applyFont="1" applyFill="1" applyBorder="1"/>
    <xf numFmtId="165" fontId="10" fillId="0" borderId="8" xfId="0" applyNumberFormat="1" applyFont="1" applyFill="1" applyBorder="1"/>
    <xf numFmtId="3" fontId="10" fillId="0" borderId="9" xfId="0" applyNumberFormat="1" applyFont="1" applyFill="1" applyBorder="1"/>
    <xf numFmtId="0" fontId="10" fillId="0" borderId="5" xfId="0" applyFont="1" applyBorder="1"/>
    <xf numFmtId="0" fontId="10" fillId="0" borderId="5" xfId="0" applyFont="1" applyBorder="1" applyAlignment="1">
      <alignment horizontal="center"/>
    </xf>
    <xf numFmtId="3" fontId="10" fillId="0" borderId="5" xfId="0" applyNumberFormat="1" applyFont="1" applyBorder="1"/>
    <xf numFmtId="0" fontId="10" fillId="0" borderId="0" xfId="0" quotePrefix="1" applyFont="1"/>
    <xf numFmtId="169" fontId="10" fillId="0" borderId="1" xfId="0" applyNumberFormat="1" applyFont="1" applyFill="1" applyBorder="1"/>
    <xf numFmtId="3" fontId="10" fillId="0" borderId="1" xfId="0" applyNumberFormat="1" applyFont="1" applyBorder="1" applyAlignment="1">
      <alignment horizontal="center"/>
    </xf>
    <xf numFmtId="169" fontId="10" fillId="7" borderId="1" xfId="0" applyNumberFormat="1" applyFont="1" applyFill="1" applyBorder="1" applyAlignment="1">
      <alignment horizontal="center"/>
    </xf>
    <xf numFmtId="0" fontId="10" fillId="0" borderId="18" xfId="0" applyFont="1" applyBorder="1"/>
    <xf numFmtId="0" fontId="10" fillId="0" borderId="4" xfId="0" applyFont="1" applyFill="1" applyBorder="1" applyAlignment="1">
      <alignment horizontal="center"/>
    </xf>
    <xf numFmtId="3" fontId="10" fillId="0" borderId="4" xfId="0" applyNumberFormat="1" applyFont="1" applyFill="1" applyBorder="1"/>
    <xf numFmtId="165" fontId="10" fillId="0" borderId="4" xfId="0" applyNumberFormat="1" applyFont="1" applyFill="1" applyBorder="1"/>
    <xf numFmtId="0" fontId="10" fillId="12" borderId="7" xfId="0" applyFont="1" applyFill="1" applyBorder="1"/>
    <xf numFmtId="0" fontId="10" fillId="12" borderId="8" xfId="0" applyFont="1" applyFill="1" applyBorder="1" applyAlignment="1">
      <alignment horizontal="center"/>
    </xf>
    <xf numFmtId="3" fontId="10" fillId="12" borderId="8" xfId="0" applyNumberFormat="1" applyFont="1" applyFill="1" applyBorder="1"/>
    <xf numFmtId="165" fontId="10" fillId="12" borderId="8" xfId="0" applyNumberFormat="1" applyFont="1" applyFill="1" applyBorder="1"/>
    <xf numFmtId="3" fontId="10" fillId="12" borderId="9" xfId="0" applyNumberFormat="1" applyFont="1" applyFill="1" applyBorder="1"/>
    <xf numFmtId="0" fontId="10" fillId="12" borderId="12" xfId="0" applyFont="1" applyFill="1" applyBorder="1"/>
    <xf numFmtId="0" fontId="10" fillId="12" borderId="13" xfId="0" applyFont="1" applyFill="1" applyBorder="1" applyAlignment="1">
      <alignment horizontal="center"/>
    </xf>
    <xf numFmtId="3" fontId="10" fillId="12" borderId="13" xfId="0" applyNumberFormat="1" applyFont="1" applyFill="1" applyBorder="1"/>
    <xf numFmtId="165" fontId="10" fillId="12" borderId="13" xfId="0" applyNumberFormat="1" applyFont="1" applyFill="1" applyBorder="1"/>
    <xf numFmtId="3" fontId="10" fillId="12" borderId="14" xfId="0" applyNumberFormat="1" applyFont="1" applyFill="1" applyBorder="1"/>
    <xf numFmtId="0" fontId="17" fillId="9" borderId="1" xfId="0" applyFont="1" applyFill="1" applyBorder="1" applyAlignment="1">
      <alignment horizontal="left" vertical="center"/>
    </xf>
    <xf numFmtId="3" fontId="17" fillId="9" borderId="1" xfId="0" applyNumberFormat="1" applyFont="1" applyFill="1" applyBorder="1" applyAlignment="1">
      <alignment horizontal="center" vertical="center" wrapText="1" shrinkToFit="1"/>
    </xf>
    <xf numFmtId="0" fontId="17" fillId="0" borderId="1" xfId="0" applyFont="1" applyBorder="1" applyAlignment="1">
      <alignment horizontal="center"/>
    </xf>
    <xf numFmtId="0" fontId="17" fillId="9" borderId="1" xfId="0" applyFont="1" applyFill="1" applyBorder="1" applyAlignment="1">
      <alignment horizontal="center" vertical="center"/>
    </xf>
    <xf numFmtId="3" fontId="17" fillId="9" borderId="1" xfId="0" applyNumberFormat="1" applyFont="1" applyFill="1" applyBorder="1" applyAlignment="1">
      <alignment horizontal="center"/>
    </xf>
    <xf numFmtId="3" fontId="17" fillId="9" borderId="1" xfId="0" applyNumberFormat="1" applyFont="1" applyFill="1" applyBorder="1" applyAlignment="1">
      <alignment horizontal="center" wrapText="1" shrinkToFit="1"/>
    </xf>
    <xf numFmtId="3" fontId="17" fillId="0" borderId="1" xfId="0" applyNumberFormat="1" applyFont="1" applyFill="1" applyBorder="1"/>
    <xf numFmtId="165" fontId="17" fillId="0" borderId="1" xfId="0" applyNumberFormat="1" applyFont="1" applyFill="1" applyBorder="1"/>
    <xf numFmtId="0" fontId="17" fillId="0" borderId="1" xfId="0" applyFont="1" applyFill="1" applyBorder="1" applyAlignment="1">
      <alignment horizontal="left" vertical="center"/>
    </xf>
    <xf numFmtId="3" fontId="17" fillId="0" borderId="1" xfId="0" applyNumberFormat="1" applyFont="1" applyFill="1" applyBorder="1" applyAlignment="1">
      <alignment horizontal="center" vertical="center" wrapText="1" shrinkToFit="1"/>
    </xf>
    <xf numFmtId="175" fontId="17" fillId="0" borderId="1" xfId="0" applyNumberFormat="1" applyFont="1" applyFill="1" applyBorder="1"/>
    <xf numFmtId="3" fontId="10" fillId="7" borderId="1" xfId="0" applyNumberFormat="1" applyFont="1" applyFill="1" applyBorder="1" applyAlignment="1">
      <alignment horizontal="right"/>
    </xf>
    <xf numFmtId="0" fontId="10" fillId="9" borderId="1" xfId="0" applyFont="1" applyFill="1" applyBorder="1" applyAlignment="1">
      <alignment vertical="center"/>
    </xf>
    <xf numFmtId="0" fontId="10" fillId="9" borderId="1" xfId="0" applyFont="1" applyFill="1" applyBorder="1" applyAlignment="1">
      <alignment horizontal="center" vertical="center" wrapText="1"/>
    </xf>
    <xf numFmtId="3" fontId="29" fillId="0" borderId="0" xfId="0" applyNumberFormat="1" applyFont="1"/>
    <xf numFmtId="0" fontId="18" fillId="0" borderId="0" xfId="0" applyFont="1" applyAlignment="1">
      <alignment horizontal="center"/>
    </xf>
    <xf numFmtId="3" fontId="14" fillId="0" borderId="0" xfId="0" applyNumberFormat="1" applyFont="1" applyAlignment="1">
      <alignment horizontal="center"/>
    </xf>
    <xf numFmtId="3" fontId="10" fillId="0" borderId="0" xfId="0" applyNumberFormat="1" applyFont="1" applyAlignment="1">
      <alignment horizontal="right"/>
    </xf>
    <xf numFmtId="3" fontId="10" fillId="0" borderId="1" xfId="0" applyNumberFormat="1" applyFont="1" applyFill="1" applyBorder="1" applyAlignment="1">
      <alignment vertical="center"/>
    </xf>
    <xf numFmtId="0" fontId="10" fillId="7" borderId="1" xfId="0" applyFont="1" applyFill="1" applyBorder="1"/>
    <xf numFmtId="4" fontId="10" fillId="7" borderId="1" xfId="0" applyNumberFormat="1" applyFont="1" applyFill="1" applyBorder="1"/>
    <xf numFmtId="3" fontId="18" fillId="0" borderId="1" xfId="0" applyNumberFormat="1" applyFont="1" applyFill="1" applyBorder="1" applyAlignment="1">
      <alignment horizontal="right"/>
    </xf>
    <xf numFmtId="169" fontId="10" fillId="0" borderId="4" xfId="0" applyNumberFormat="1" applyFont="1" applyBorder="1"/>
    <xf numFmtId="169" fontId="10" fillId="0" borderId="15" xfId="0" applyNumberFormat="1" applyFont="1" applyBorder="1"/>
    <xf numFmtId="169" fontId="10" fillId="0" borderId="5" xfId="0" applyNumberFormat="1" applyFont="1" applyBorder="1"/>
    <xf numFmtId="0" fontId="10" fillId="10" borderId="0" xfId="0" applyFont="1" applyFill="1"/>
    <xf numFmtId="0" fontId="10" fillId="0" borderId="19" xfId="0" applyFont="1" applyBorder="1"/>
    <xf numFmtId="0" fontId="10" fillId="0" borderId="3" xfId="0" applyFont="1" applyBorder="1"/>
    <xf numFmtId="0" fontId="17" fillId="0" borderId="1" xfId="0" applyFont="1" applyBorder="1" applyAlignment="1">
      <alignment horizontal="center"/>
    </xf>
    <xf numFmtId="3" fontId="17" fillId="9" borderId="1" xfId="15" applyNumberFormat="1" applyFont="1" applyFill="1" applyBorder="1" applyAlignment="1">
      <alignment horizontal="center" vertical="center"/>
    </xf>
    <xf numFmtId="3" fontId="10" fillId="0" borderId="0" xfId="18" applyNumberFormat="1" applyFont="1" applyFill="1" applyBorder="1" applyAlignment="1">
      <alignment wrapText="1" shrinkToFit="1"/>
    </xf>
    <xf numFmtId="0" fontId="17" fillId="9" borderId="1" xfId="14" applyFont="1" applyFill="1" applyBorder="1" applyAlignment="1">
      <alignment vertical="center"/>
    </xf>
    <xf numFmtId="3" fontId="17" fillId="9" borderId="1" xfId="14" applyNumberFormat="1" applyFont="1" applyFill="1" applyBorder="1" applyAlignment="1">
      <alignment horizontal="right" vertical="center"/>
    </xf>
    <xf numFmtId="0" fontId="17" fillId="0" borderId="4" xfId="18" applyFont="1" applyFill="1" applyBorder="1" applyAlignment="1">
      <alignment horizontal="center" vertical="center" wrapText="1"/>
    </xf>
    <xf numFmtId="0" fontId="17" fillId="0" borderId="5" xfId="18" applyFont="1" applyFill="1" applyBorder="1" applyAlignment="1">
      <alignment horizontal="center" vertical="center" wrapText="1"/>
    </xf>
    <xf numFmtId="0" fontId="17" fillId="0" borderId="1" xfId="18" applyFont="1" applyFill="1" applyBorder="1" applyAlignment="1">
      <alignment horizontal="center" vertical="center" wrapText="1"/>
    </xf>
    <xf numFmtId="164" fontId="17" fillId="3" borderId="19" xfId="18" applyNumberFormat="1" applyFont="1" applyFill="1" applyBorder="1" applyAlignment="1">
      <alignment horizontal="center" vertical="center"/>
    </xf>
    <xf numFmtId="0" fontId="17" fillId="3" borderId="19" xfId="18" applyFont="1" applyFill="1" applyBorder="1" applyAlignment="1">
      <alignment horizontal="center" vertical="center"/>
    </xf>
    <xf numFmtId="0" fontId="17" fillId="3" borderId="3" xfId="18" applyFont="1" applyFill="1" applyBorder="1" applyAlignment="1">
      <alignment horizontal="center" vertical="center"/>
    </xf>
    <xf numFmtId="164" fontId="17" fillId="3" borderId="1" xfId="18" applyNumberFormat="1" applyFont="1" applyFill="1" applyBorder="1" applyAlignment="1">
      <alignment horizontal="center" vertical="center" wrapText="1" shrinkToFit="1"/>
    </xf>
    <xf numFmtId="0" fontId="17" fillId="3" borderId="20" xfId="18" applyFont="1" applyFill="1" applyBorder="1" applyAlignment="1">
      <alignment horizontal="center" vertical="center" wrapText="1" shrinkToFit="1"/>
    </xf>
    <xf numFmtId="0" fontId="17" fillId="3" borderId="21" xfId="18" applyFont="1" applyFill="1" applyBorder="1" applyAlignment="1">
      <alignment horizontal="center" vertical="center" wrapText="1" shrinkToFit="1"/>
    </xf>
    <xf numFmtId="0" fontId="17" fillId="3" borderId="4" xfId="18" applyFont="1" applyFill="1" applyBorder="1" applyAlignment="1">
      <alignment horizontal="center" vertical="center" wrapText="1" shrinkToFit="1"/>
    </xf>
    <xf numFmtId="0" fontId="17" fillId="3" borderId="5" xfId="18" applyFont="1" applyFill="1" applyBorder="1" applyAlignment="1">
      <alignment horizontal="center" vertical="center" wrapText="1" shrinkToFit="1"/>
    </xf>
    <xf numFmtId="0" fontId="17" fillId="3" borderId="1" xfId="18" applyFont="1" applyFill="1" applyBorder="1" applyAlignment="1">
      <alignment horizontal="center" vertical="center" wrapText="1" shrinkToFit="1"/>
    </xf>
    <xf numFmtId="0" fontId="17" fillId="3" borderId="4" xfId="18" applyFont="1" applyFill="1" applyBorder="1" applyAlignment="1">
      <alignment horizontal="center" vertical="center"/>
    </xf>
    <xf numFmtId="0" fontId="17" fillId="3" borderId="5" xfId="18" applyFont="1" applyFill="1" applyBorder="1" applyAlignment="1">
      <alignment horizontal="center" vertical="center"/>
    </xf>
    <xf numFmtId="0" fontId="17" fillId="3" borderId="20" xfId="19" applyFont="1" applyFill="1" applyBorder="1" applyAlignment="1">
      <alignment horizontal="center" vertical="center" wrapText="1" shrinkToFit="1"/>
    </xf>
    <xf numFmtId="0" fontId="17" fillId="3" borderId="21" xfId="19" applyFont="1" applyFill="1" applyBorder="1" applyAlignment="1">
      <alignment horizontal="center" vertical="center" wrapText="1" shrinkToFit="1"/>
    </xf>
    <xf numFmtId="0" fontId="17" fillId="3" borderId="1" xfId="19" applyFont="1" applyFill="1" applyBorder="1" applyAlignment="1">
      <alignment horizontal="center" vertical="center"/>
    </xf>
    <xf numFmtId="164" fontId="17" fillId="3" borderId="1" xfId="19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left"/>
    </xf>
    <xf numFmtId="0" fontId="10" fillId="0" borderId="0" xfId="0" applyFont="1" applyFill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7" fillId="0" borderId="2" xfId="0" applyFont="1" applyBorder="1" applyAlignment="1">
      <alignment horizontal="center"/>
    </xf>
    <xf numFmtId="0" fontId="17" fillId="0" borderId="1" xfId="19" applyFont="1" applyFill="1" applyBorder="1" applyAlignment="1">
      <alignment horizontal="center" vertical="center" wrapText="1"/>
    </xf>
    <xf numFmtId="164" fontId="17" fillId="3" borderId="2" xfId="18" applyNumberFormat="1" applyFont="1" applyFill="1" applyBorder="1" applyAlignment="1">
      <alignment horizontal="center" vertical="center" wrapText="1" shrinkToFit="1"/>
    </xf>
    <xf numFmtId="164" fontId="17" fillId="3" borderId="19" xfId="18" applyNumberFormat="1" applyFont="1" applyFill="1" applyBorder="1" applyAlignment="1">
      <alignment horizontal="center" vertical="center" wrapText="1" shrinkToFit="1"/>
    </xf>
    <xf numFmtId="164" fontId="17" fillId="3" borderId="3" xfId="18" applyNumberFormat="1" applyFont="1" applyFill="1" applyBorder="1" applyAlignment="1">
      <alignment horizontal="center" vertical="center" wrapText="1" shrinkToFit="1"/>
    </xf>
    <xf numFmtId="0" fontId="17" fillId="9" borderId="4" xfId="15" applyFont="1" applyFill="1" applyBorder="1" applyAlignment="1">
      <alignment horizontal="left" vertical="center"/>
    </xf>
    <xf numFmtId="0" fontId="17" fillId="9" borderId="5" xfId="15" applyFont="1" applyFill="1" applyBorder="1" applyAlignment="1">
      <alignment horizontal="left" vertical="center"/>
    </xf>
    <xf numFmtId="3" fontId="17" fillId="9" borderId="1" xfId="15" applyNumberFormat="1" applyFont="1" applyFill="1" applyBorder="1" applyAlignment="1">
      <alignment horizontal="center" vertical="center"/>
    </xf>
    <xf numFmtId="3" fontId="10" fillId="0" borderId="1" xfId="14" applyNumberFormat="1" applyFont="1" applyFill="1" applyBorder="1" applyAlignment="1">
      <alignment horizontal="center" vertical="center"/>
    </xf>
    <xf numFmtId="3" fontId="10" fillId="0" borderId="2" xfId="14" applyNumberFormat="1" applyFont="1" applyFill="1" applyBorder="1" applyAlignment="1">
      <alignment horizontal="center" vertical="center"/>
    </xf>
    <xf numFmtId="3" fontId="10" fillId="0" borderId="19" xfId="14" applyNumberFormat="1" applyFont="1" applyFill="1" applyBorder="1" applyAlignment="1">
      <alignment horizontal="center" vertical="center"/>
    </xf>
    <xf numFmtId="3" fontId="10" fillId="0" borderId="3" xfId="14" applyNumberFormat="1" applyFont="1" applyFill="1" applyBorder="1" applyAlignment="1">
      <alignment horizontal="center" vertical="center"/>
    </xf>
    <xf numFmtId="3" fontId="17" fillId="9" borderId="2" xfId="15" applyNumberFormat="1" applyFont="1" applyFill="1" applyBorder="1" applyAlignment="1">
      <alignment horizontal="center" vertical="center"/>
    </xf>
    <xf numFmtId="3" fontId="17" fillId="9" borderId="19" xfId="15" applyNumberFormat="1" applyFont="1" applyFill="1" applyBorder="1" applyAlignment="1">
      <alignment horizontal="center" vertical="center"/>
    </xf>
    <xf numFmtId="3" fontId="17" fillId="9" borderId="3" xfId="15" applyNumberFormat="1" applyFont="1" applyFill="1" applyBorder="1" applyAlignment="1">
      <alignment horizontal="center" vertical="center"/>
    </xf>
  </cellXfs>
  <cellStyles count="30">
    <cellStyle name="_Бюджет_2007_3_22,12,06 вар.после набл.совета" xfId="1"/>
    <cellStyle name="Euro" xfId="2"/>
    <cellStyle name="Flag" xfId="3"/>
    <cellStyle name="Milliers [0]_JULY97" xfId="4"/>
    <cellStyle name="Milliers_JULY97" xfId="5"/>
    <cellStyle name="Monétaire [0]_JULY97" xfId="6"/>
    <cellStyle name="Monétaire_JULY97" xfId="7"/>
    <cellStyle name="Normal_Assump." xfId="8"/>
    <cellStyle name="Option" xfId="9"/>
    <cellStyle name="Price" xfId="10"/>
    <cellStyle name="Unit" xfId="11"/>
    <cellStyle name="Обычный" xfId="0" builtinId="0"/>
    <cellStyle name="Обычный_Алтын-ОрдаНовыйБП" xfId="12"/>
    <cellStyle name="Обычный_Алтын-ОрдаНовыйБП 2" xfId="13"/>
    <cellStyle name="Обычный_БП кир завод 3.3  (40 млн. +20 забут реал на 18.07.06 для АФ увел курс)" xfId="14"/>
    <cellStyle name="Обычный_Копия cityrus4-18 лет СМР 52 млн $" xfId="15"/>
    <cellStyle name="Обычный_НовыйМир" xfId="16"/>
    <cellStyle name="Обычный_ПереченьКЗ" xfId="17"/>
    <cellStyle name="Обычный_Формы отчетов" xfId="18"/>
    <cellStyle name="Обычный_Формы отчетов 2" xfId="19"/>
    <cellStyle name="Процентный" xfId="20" builtinId="5"/>
    <cellStyle name="Процентный 2" xfId="21"/>
    <cellStyle name="Стиль 1" xfId="22"/>
    <cellStyle name="Тысячи [0]" xfId="23"/>
    <cellStyle name="Финансовый" xfId="24" builtinId="3"/>
    <cellStyle name="桁区切り [0.00]_PERSONAL" xfId="25"/>
    <cellStyle name="桁区切り_PERSONAL" xfId="26"/>
    <cellStyle name="標準_PERSONAL" xfId="27"/>
    <cellStyle name="通貨 [0.00]_PERSONAL" xfId="28"/>
    <cellStyle name="通貨_PERSONAL" xfId="29"/>
  </cellStyles>
  <dxfs count="0"/>
  <tableStyles count="0" defaultTableStyle="TableStyleMedium9" defaultPivotStyle="PivotStyleLight16"/>
  <colors>
    <mruColors>
      <color rgb="FFCCFFCC"/>
    </mruColors>
  </colors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5.xml"/><Relationship Id="rId26" Type="http://schemas.openxmlformats.org/officeDocument/2006/relationships/externalLink" Target="externalLinks/externalLink13.xml"/><Relationship Id="rId39" Type="http://schemas.openxmlformats.org/officeDocument/2006/relationships/externalLink" Target="externalLinks/externalLink26.xml"/><Relationship Id="rId21" Type="http://schemas.openxmlformats.org/officeDocument/2006/relationships/externalLink" Target="externalLinks/externalLink8.xml"/><Relationship Id="rId34" Type="http://schemas.openxmlformats.org/officeDocument/2006/relationships/externalLink" Target="externalLinks/externalLink21.xml"/><Relationship Id="rId42" Type="http://schemas.openxmlformats.org/officeDocument/2006/relationships/externalLink" Target="externalLinks/externalLink29.xml"/><Relationship Id="rId47" Type="http://schemas.openxmlformats.org/officeDocument/2006/relationships/externalLink" Target="externalLinks/externalLink34.xml"/><Relationship Id="rId50" Type="http://schemas.openxmlformats.org/officeDocument/2006/relationships/externalLink" Target="externalLinks/externalLink37.xml"/><Relationship Id="rId55" Type="http://schemas.openxmlformats.org/officeDocument/2006/relationships/externalLink" Target="externalLinks/externalLink42.xml"/><Relationship Id="rId63" Type="http://schemas.openxmlformats.org/officeDocument/2006/relationships/externalLink" Target="externalLinks/externalLink50.xml"/><Relationship Id="rId68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3.xml"/><Relationship Id="rId29" Type="http://schemas.openxmlformats.org/officeDocument/2006/relationships/externalLink" Target="externalLinks/externalLink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1.xml"/><Relationship Id="rId32" Type="http://schemas.openxmlformats.org/officeDocument/2006/relationships/externalLink" Target="externalLinks/externalLink19.xml"/><Relationship Id="rId37" Type="http://schemas.openxmlformats.org/officeDocument/2006/relationships/externalLink" Target="externalLinks/externalLink24.xml"/><Relationship Id="rId40" Type="http://schemas.openxmlformats.org/officeDocument/2006/relationships/externalLink" Target="externalLinks/externalLink27.xml"/><Relationship Id="rId45" Type="http://schemas.openxmlformats.org/officeDocument/2006/relationships/externalLink" Target="externalLinks/externalLink32.xml"/><Relationship Id="rId53" Type="http://schemas.openxmlformats.org/officeDocument/2006/relationships/externalLink" Target="externalLinks/externalLink40.xml"/><Relationship Id="rId58" Type="http://schemas.openxmlformats.org/officeDocument/2006/relationships/externalLink" Target="externalLinks/externalLink45.xml"/><Relationship Id="rId66" Type="http://schemas.openxmlformats.org/officeDocument/2006/relationships/externalLink" Target="externalLinks/externalLink53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23" Type="http://schemas.openxmlformats.org/officeDocument/2006/relationships/externalLink" Target="externalLinks/externalLink10.xml"/><Relationship Id="rId28" Type="http://schemas.openxmlformats.org/officeDocument/2006/relationships/externalLink" Target="externalLinks/externalLink15.xml"/><Relationship Id="rId36" Type="http://schemas.openxmlformats.org/officeDocument/2006/relationships/externalLink" Target="externalLinks/externalLink23.xml"/><Relationship Id="rId49" Type="http://schemas.openxmlformats.org/officeDocument/2006/relationships/externalLink" Target="externalLinks/externalLink36.xml"/><Relationship Id="rId57" Type="http://schemas.openxmlformats.org/officeDocument/2006/relationships/externalLink" Target="externalLinks/externalLink44.xml"/><Relationship Id="rId61" Type="http://schemas.openxmlformats.org/officeDocument/2006/relationships/externalLink" Target="externalLinks/externalLink48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6.xml"/><Relationship Id="rId31" Type="http://schemas.openxmlformats.org/officeDocument/2006/relationships/externalLink" Target="externalLinks/externalLink18.xml"/><Relationship Id="rId44" Type="http://schemas.openxmlformats.org/officeDocument/2006/relationships/externalLink" Target="externalLinks/externalLink31.xml"/><Relationship Id="rId52" Type="http://schemas.openxmlformats.org/officeDocument/2006/relationships/externalLink" Target="externalLinks/externalLink39.xml"/><Relationship Id="rId60" Type="http://schemas.openxmlformats.org/officeDocument/2006/relationships/externalLink" Target="externalLinks/externalLink47.xml"/><Relationship Id="rId65" Type="http://schemas.openxmlformats.org/officeDocument/2006/relationships/externalLink" Target="externalLinks/externalLink5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Relationship Id="rId22" Type="http://schemas.openxmlformats.org/officeDocument/2006/relationships/externalLink" Target="externalLinks/externalLink9.xml"/><Relationship Id="rId27" Type="http://schemas.openxmlformats.org/officeDocument/2006/relationships/externalLink" Target="externalLinks/externalLink14.xml"/><Relationship Id="rId30" Type="http://schemas.openxmlformats.org/officeDocument/2006/relationships/externalLink" Target="externalLinks/externalLink17.xml"/><Relationship Id="rId35" Type="http://schemas.openxmlformats.org/officeDocument/2006/relationships/externalLink" Target="externalLinks/externalLink22.xml"/><Relationship Id="rId43" Type="http://schemas.openxmlformats.org/officeDocument/2006/relationships/externalLink" Target="externalLinks/externalLink30.xml"/><Relationship Id="rId48" Type="http://schemas.openxmlformats.org/officeDocument/2006/relationships/externalLink" Target="externalLinks/externalLink35.xml"/><Relationship Id="rId56" Type="http://schemas.openxmlformats.org/officeDocument/2006/relationships/externalLink" Target="externalLinks/externalLink43.xml"/><Relationship Id="rId64" Type="http://schemas.openxmlformats.org/officeDocument/2006/relationships/externalLink" Target="externalLinks/externalLink51.xml"/><Relationship Id="rId69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3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4.xml"/><Relationship Id="rId25" Type="http://schemas.openxmlformats.org/officeDocument/2006/relationships/externalLink" Target="externalLinks/externalLink12.xml"/><Relationship Id="rId33" Type="http://schemas.openxmlformats.org/officeDocument/2006/relationships/externalLink" Target="externalLinks/externalLink20.xml"/><Relationship Id="rId38" Type="http://schemas.openxmlformats.org/officeDocument/2006/relationships/externalLink" Target="externalLinks/externalLink25.xml"/><Relationship Id="rId46" Type="http://schemas.openxmlformats.org/officeDocument/2006/relationships/externalLink" Target="externalLinks/externalLink33.xml"/><Relationship Id="rId59" Type="http://schemas.openxmlformats.org/officeDocument/2006/relationships/externalLink" Target="externalLinks/externalLink46.xml"/><Relationship Id="rId67" Type="http://schemas.openxmlformats.org/officeDocument/2006/relationships/theme" Target="theme/theme1.xml"/><Relationship Id="rId20" Type="http://schemas.openxmlformats.org/officeDocument/2006/relationships/externalLink" Target="externalLinks/externalLink7.xml"/><Relationship Id="rId41" Type="http://schemas.openxmlformats.org/officeDocument/2006/relationships/externalLink" Target="externalLinks/externalLink28.xml"/><Relationship Id="rId54" Type="http://schemas.openxmlformats.org/officeDocument/2006/relationships/externalLink" Target="externalLinks/externalLink41.xml"/><Relationship Id="rId62" Type="http://schemas.openxmlformats.org/officeDocument/2006/relationships/externalLink" Target="externalLinks/externalLink49.xml"/><Relationship Id="rId70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2;&#1080;&#1093;&#1072;&#1080;&#1083;/Documents/&#1044;&#1086;&#1082;&#1091;&#1084;&#1077;&#1085;&#1090;&#1099;%20&#1040;&#1085;&#1092;&#1080;&#1085;&#1086;&#1075;&#1077;&#1085;&#1086;&#1074;/&#1056;&#1072;&#1089;&#1095;&#1077;&#1090;&#1099;,%20&#1041;&#1055;/2011-2012/84-103_&#1058;&#1080;&#1087;&#1086;&#1074;&#1099;&#1077;%20&#1044;&#1040;&#1052;&#1059;/01_&#1052;&#1086;&#1083;&#1086;&#1095;&#1085;&#1072;&#1103;%20&#1092;&#1077;&#1088;&#1084;&#1072;/Documents%20and%20Settings/b_altynbai/&#1052;&#1086;&#1080;%20&#1076;&#1086;&#1082;&#1091;&#1084;&#1077;&#1085;&#1090;&#1099;/&#1052;&#1086;&#1080;%20&#1087;&#1088;&#1086;&#1077;&#1082;&#1090;&#1099;/&#1060;&#1072;&#1088;&#1084;%20&#1043;&#1083;&#1072;&#1089;&#1089;/+&#1058;&#1041;&#1054;-&#1040;&#1082;&#1090;&#1086;&#1073;&#1077;_board/&#1047;&#1072;&#1082;&#1083;&#1102;&#1095;&#1077;&#1085;&#1080;&#1077;/&#1041;&#1055;%20&#1058;&#1041;&#1054;%20&#1040;&#1082;&#1090;&#1086;&#1073;&#1077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2;&#1080;&#1093;&#1072;&#1080;&#1083;/Documents/&#1044;&#1086;&#1082;&#1091;&#1084;&#1077;&#1085;&#1090;&#1099;%20&#1040;&#1085;&#1092;&#1080;&#1085;&#1086;&#1075;&#1077;&#1085;&#1086;&#1074;/&#1056;&#1072;&#1089;&#1095;&#1077;&#1090;&#1099;,%20&#1041;&#1055;/2011-2012/84-103_&#1058;&#1080;&#1087;&#1086;&#1074;&#1099;&#1077;%20&#1044;&#1040;&#1052;&#1059;/01_&#1052;&#1086;&#1083;&#1086;&#1095;&#1085;&#1072;&#1103;%20&#1092;&#1077;&#1088;&#1084;&#1072;/Documents%20and%20Settings/G_Ibraeva/&#1056;&#1072;&#1073;&#1086;&#1095;&#1080;&#1081;%20&#1089;&#1090;&#1086;&#1083;/DOCUME~1/AHMETO~1/LOCALS~1/Temp/Rar$DI00.531/&#1041;&#1102;&#1076;&#1078;&#1077;&#1090;&#1055;&#1088;&#1086;&#1076;&#1072;&#1078;&#1042;&#1085;&#1077;&#1096;&#1085;&#1080;&#1081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G_Ibraeva/&#1056;&#1072;&#1073;&#1086;&#1095;&#1080;&#1081;%20&#1089;&#1090;&#1086;&#1083;/DOCUME~1/AHMETO~1/LOCALS~1/Temp/Rar$DI00.531/&#1041;&#1102;&#1076;&#1078;&#1077;&#1090;&#1055;&#1088;&#1086;&#1076;&#1072;&#1078;&#1042;&#1085;&#1077;&#1096;&#1085;&#1080;&#1081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c\&#1054;&#1073;&#1097;&#1080;&#1077;%20&#1076;&#1086;&#1082;&#1091;&#1084;&#1077;&#1085;&#1090;&#1099;\Documents%20and%20Settings\k_abdrahmanov\&#1056;&#1072;&#1073;&#1086;&#1095;&#1080;&#1081;%20&#1089;&#1090;&#1086;&#1083;\&#1048;&#1085;&#1092;&#1086;%20&#1040;&#1082;&#1090;&#1086;&#1073;&#1077;\&#1085;&#1086;&#1074;&#1099;&#1081;%20&#1041;&#1055;%20%20&#1080;&#1089;&#1087;&#1088;%20&#1089;%20&#1091;&#1095;.%20&#1092;&#1080;&#1085;.%20NB%2007.02.06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hashpan_zh\temp\ERLAN\Zakluchenia\&#1047;&#1077;&#1088;&#1085;&#1086;&#1074;&#1072;&#1103;_&#1051;&#1050;\Proj_&#1047;&#1051;&#1050;_&#1087;&#1096;&#1077;&#1085;&#1080;&#1094;&#1072;_50%25_&#1083;&#1080;&#1079;_&#1087;&#1083;&#1072;&#1090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c\&#1086;&#1073;&#1097;&#1080;&#1077;%20&#1076;&#1086;&#1082;&#1091;&#1084;&#1077;&#1085;&#1090;&#1099;\&#1050;&#1091;&#1089;&#1084;&#1072;&#1085;&#1086;&#1074;%20&#1046;&#1077;&#1085;&#1080;&#1089;%20&#1050;&#1072;&#1081;&#1088;&#1073;&#1072;&#1077;&#1074;&#1080;&#1095;\&#1041;&#1055;%20&#1097;&#1077;&#1073;&#1077;&#1085;&#1100;%201.05%20&#1076;&#1083;&#1103;%20&#1041;&#1058;&#1040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86;&#1082;&#1091;&#1084;&#1077;&#1085;&#1090;&#1099;%20&#1040;&#1085;&#1092;&#1080;&#1085;&#1086;&#1075;&#1077;&#1085;&#1086;&#1074;/&#1056;&#1072;&#1089;&#1095;&#1077;&#1090;&#1099;,%20&#1041;&#1055;/&#1052;&#1080;&#1085;&#1080;&#1084;&#1072;&#1088;&#1082;&#1077;&#1090;%20&#1085;&#1072;%205%20&#1084;&#1083;&#1085;/&#1052;&#1051;&#1044;&#1050;%20&#1060;3+&#1060;2%20&#1073;&#1077;&#1079;%20&#1048;&#1060;&#1050;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2;&#1080;&#1093;&#1072;&#1080;&#1083;/Documents/&#1044;&#1086;&#1082;&#1091;&#1084;&#1077;&#1085;&#1090;&#1099;%20&#1040;&#1085;&#1092;&#1080;&#1085;&#1086;&#1075;&#1077;&#1085;&#1086;&#1074;/&#1056;&#1072;&#1089;&#1095;&#1077;&#1090;&#1099;,%20&#1041;&#1055;/2009-2010/21_&#1058;&#1077;&#1082;&#1089;&#1090;&#1080;&#1083;&#1100;&#1085;&#1072;&#1103;%20&#1092;&#1072;&#1073;&#1088;&#1080;&#1082;&#1072;/DOCUME~1/G_SVEC~1/LOCALS~1/Temp/bat/6A75EE9B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G_SVEC~1/LOCALS~1/Temp/bat/6A75EE9B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42;&#1086;&#1089;&#1089;&#1090;&#1072;&#1085;&#1086;&#1074;&#1083;&#1077;&#1085;&#1085;&#1072;&#1103;_&#1074;&#1085;&#1077;&#1096;&#1085;&#1103;&#1103;_&#1089;&#1089;&#1099;&#1083;&#1082;&#1072;1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2;&#1080;&#1093;&#1072;&#1080;&#1083;/Documents/&#1044;&#1086;&#1082;&#1091;&#1084;&#1077;&#1085;&#1090;&#1099;%20&#1040;&#1085;&#1092;&#1080;&#1085;&#1086;&#1075;&#1077;&#1085;&#1086;&#1074;/&#1056;&#1072;&#1089;&#1095;&#1077;&#1090;&#1099;,%20&#1041;&#1055;/2011-2012/84-103_&#1058;&#1080;&#1087;&#1086;&#1074;&#1099;&#1077;%20&#1044;&#1040;&#1052;&#1059;/01_&#1052;&#1086;&#1083;&#1086;&#1095;&#1085;&#1072;&#1103;%20&#1092;&#1077;&#1088;&#1084;&#1072;/DOCUME~1/G_SVEC~1/LOCALS~1/Temp/bat/6A75EE9B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2;&#1080;&#1093;&#1072;&#1080;&#1083;/Documents/&#1044;&#1086;&#1082;&#1091;&#1084;&#1077;&#1085;&#1090;&#1099;%20&#1040;&#1085;&#1092;&#1080;&#1085;&#1086;&#1075;&#1077;&#1085;&#1086;&#1074;/&#1056;&#1072;&#1089;&#1095;&#1077;&#1090;&#1099;,%20&#1041;&#1055;/2009-2010/21_&#1058;&#1077;&#1082;&#1089;&#1090;&#1080;&#1083;&#1100;&#1085;&#1072;&#1103;%20&#1092;&#1072;&#1073;&#1088;&#1080;&#1082;&#1072;/Documents%20and%20Settings/b_altynbai/&#1052;&#1086;&#1080;%20&#1076;&#1086;&#1082;&#1091;&#1084;&#1077;&#1085;&#1090;&#1099;/&#1052;&#1086;&#1080;%20&#1087;&#1088;&#1086;&#1077;&#1082;&#1090;&#1099;/&#1060;&#1072;&#1088;&#1084;%20&#1043;&#1083;&#1072;&#1089;&#1089;/+&#1058;&#1041;&#1054;-&#1040;&#1082;&#1090;&#1086;&#1073;&#1077;_board/&#1047;&#1072;&#1082;&#1083;&#1102;&#1095;&#1077;&#1085;&#1080;&#1077;/&#1041;&#1055;%20&#1058;&#1041;&#1054;%20&#1040;&#1082;&#1090;&#1086;&#1073;&#1077;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2;&#1080;&#1093;&#1072;&#1080;&#1083;/Documents/&#1044;&#1086;&#1082;&#1091;&#1084;&#1077;&#1085;&#1090;&#1099;%20&#1040;&#1085;&#1092;&#1080;&#1085;&#1086;&#1075;&#1077;&#1085;&#1086;&#1074;/&#1056;&#1072;&#1089;&#1095;&#1077;&#1090;&#1099;,%20&#1041;&#1055;/2009-2010/21_&#1058;&#1077;&#1082;&#1089;&#1090;&#1080;&#1083;&#1100;&#1085;&#1072;&#1103;%20&#1092;&#1072;&#1073;&#1088;&#1080;&#1082;&#1072;/&#1052;&#1086;&#1080;%20&#1076;&#1086;&#1082;&#1091;&#1084;&#1077;&#1085;&#1090;&#1099;/&#1055;&#1088;&#1086;&#1077;&#1082;&#1090;&#1099;/&#1053;&#1077;&#1088;&#1091;&#1076;-&#1050;&#1086;&#1096;&#1077;&#1090;&#1072;&#1091;/&#1053;&#1077;&#1088;&#1091;&#1076;/&#1050;&#1086;&#1088;&#1088;&#1077;&#1082;&#1090;&#1080;&#1088;&#1086;&#1074;&#1082;&#1072;%202-&#1086;&#1077;%20&#1087;&#1086;&#1083;&#1091;&#1075;&#1086;&#1076;&#1080;&#1077;%202007%20&#1075;/&#1041;&#1102;&#1076;&#1078;&#1077;&#1090;%20&#1085;&#1072;%202-%20&#1086;&#1077;%20&#1087;&#1086;&#1083;&#1091;&#1075;&#1086;&#1076;&#1080;&#1077;%202007%20&#1075;.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86;&#1080;%20&#1076;&#1086;&#1082;&#1091;&#1084;&#1077;&#1085;&#1090;&#1099;/&#1055;&#1088;&#1086;&#1077;&#1082;&#1090;&#1099;/&#1053;&#1077;&#1088;&#1091;&#1076;-&#1050;&#1086;&#1096;&#1077;&#1090;&#1072;&#1091;/&#1053;&#1077;&#1088;&#1091;&#1076;/&#1050;&#1086;&#1088;&#1088;&#1077;&#1082;&#1090;&#1080;&#1088;&#1086;&#1074;&#1082;&#1072;%202-&#1086;&#1077;%20&#1087;&#1086;&#1083;&#1091;&#1075;&#1086;&#1076;&#1080;&#1077;%202007%20&#1075;/&#1041;&#1102;&#1076;&#1078;&#1077;&#1090;%20&#1085;&#1072;%202-%20&#1086;&#1077;%20&#1087;&#1086;&#1083;&#1091;&#1075;&#1086;&#1076;&#1080;&#1077;%202007%20&#1075;.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2;&#1080;&#1093;&#1072;&#1080;&#1083;/Documents/&#1044;&#1086;&#1082;&#1091;&#1084;&#1077;&#1085;&#1090;&#1099;%20&#1040;&#1085;&#1092;&#1080;&#1085;&#1086;&#1075;&#1077;&#1085;&#1086;&#1074;/&#1056;&#1072;&#1089;&#1095;&#1077;&#1090;&#1099;,%20&#1041;&#1055;/2011-2012/84-103_&#1058;&#1080;&#1087;&#1086;&#1074;&#1099;&#1077;%20&#1044;&#1040;&#1052;&#1059;/01_&#1052;&#1086;&#1083;&#1086;&#1095;&#1085;&#1072;&#1103;%20&#1092;&#1077;&#1088;&#1084;&#1072;/&#1052;&#1086;&#1080;%20&#1076;&#1086;&#1082;&#1091;&#1084;&#1077;&#1085;&#1090;&#1099;/&#1055;&#1088;&#1086;&#1077;&#1082;&#1090;&#1099;/&#1053;&#1077;&#1088;&#1091;&#1076;-&#1050;&#1086;&#1096;&#1077;&#1090;&#1072;&#1091;/&#1053;&#1077;&#1088;&#1091;&#1076;/&#1050;&#1086;&#1088;&#1088;&#1077;&#1082;&#1090;&#1080;&#1088;&#1086;&#1074;&#1082;&#1072;%202-&#1086;&#1077;%20&#1087;&#1086;&#1083;&#1091;&#1075;&#1086;&#1076;&#1080;&#1077;%202007%20&#1075;/&#1041;&#1102;&#1076;&#1078;&#1077;&#1090;%20&#1085;&#1072;%202-%20&#1086;&#1077;%20&#1087;&#1086;&#1083;&#1091;&#1075;&#1086;&#1076;&#1080;&#1077;%202007%20&#1075;.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c\&#1086;&#1073;&#1097;&#1080;&#1077;%20&#1076;&#1086;&#1082;&#1091;&#1084;&#1077;&#1085;&#1090;&#1099;\&#1052;&#1086;&#1080;%20&#1076;&#1086;&#1082;&#1091;&#1084;&#1077;&#1085;&#1090;&#1099;\&#1041;%20&#1055;\&#1047;&#1072;&#1074;&#1086;&#1076;%20&#1084;&#1080;&#1085;&#1077;&#1088;&#1072;&#1083;&#1086;&#1074;&#1072;&#1090;&#1085;&#1099;&#1093;%20&#1080;&#1079;&#1076;&#1077;&#1083;&#1080;&#1081;\Proj_&#1057;&#1072;&#1088;&#1076;&#1072;&#1083;&#1072;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~1\AHMETO~1\LOCALS~1\Temp\Rar$DI00.531\&#1041;&#1102;&#1076;&#1078;&#1077;&#1090;&#1055;&#1088;&#1086;&#1076;&#1072;&#1078;&#1042;&#1085;&#1077;&#1096;&#1085;&#1080;&#1081;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2;&#1080;&#1093;&#1072;&#1080;&#1083;/Documents/&#1044;&#1086;&#1082;&#1091;&#1084;&#1077;&#1085;&#1090;&#1099;%20&#1040;&#1085;&#1092;&#1080;&#1085;&#1086;&#1075;&#1077;&#1085;&#1086;&#1074;/&#1056;&#1072;&#1089;&#1095;&#1077;&#1090;&#1099;,%20&#1041;&#1055;/2009-2010/21_&#1058;&#1077;&#1082;&#1089;&#1090;&#1080;&#1083;&#1100;&#1085;&#1072;&#1103;%20&#1092;&#1072;&#1073;&#1088;&#1080;&#1082;&#1072;/&#1052;&#1051;&#1044;&#1050;%20&#1060;3+&#1060;2%20&#1073;&#1077;&#1079;%20&#1048;&#1060;&#1050;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2;&#1080;&#1093;&#1072;&#1080;&#1083;/Documents/&#1044;&#1086;&#1082;&#1091;&#1084;&#1077;&#1085;&#1090;&#1099;%20&#1040;&#1085;&#1092;&#1080;&#1085;&#1086;&#1075;&#1077;&#1085;&#1086;&#1074;/&#1056;&#1072;&#1089;&#1095;&#1077;&#1090;&#1099;,%20&#1041;&#1055;/2011-2012/84-103_&#1058;&#1080;&#1087;&#1086;&#1074;&#1099;&#1077;%20&#1044;&#1040;&#1052;&#1059;/01_&#1052;&#1086;&#1083;&#1086;&#1095;&#1085;&#1072;&#1103;%20&#1092;&#1077;&#1088;&#1084;&#1072;/&#1052;&#1086;&#1080;%20&#1076;&#1086;&#1082;&#1091;&#1084;&#1077;&#1085;&#1090;&#1099;/&#1055;&#1056;&#1054;&#1045;&#1050;&#1058;&#1067;/&#1041;&#1055;%20&#1070;&#1076;&#1072;&#1096;&#1082;&#1080;&#1085;/&#1052;&#1051;&#1044;&#1050;%20&#1060;3+&#1060;2%20&#1073;&#1077;&#1079;%20&#1048;&#1060;&#1050;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2;&#1080;&#1093;&#1072;&#1080;&#1083;/Documents/&#1044;&#1086;&#1082;&#1091;&#1084;&#1077;&#1085;&#1090;&#1099;%20&#1040;&#1085;&#1092;&#1080;&#1085;&#1086;&#1075;&#1077;&#1085;&#1086;&#1074;/&#1056;&#1072;&#1089;&#1095;&#1077;&#1090;&#1099;,%20&#1041;&#1055;/2011-2012/84-103_&#1058;&#1080;&#1087;&#1086;&#1074;&#1099;&#1077;%20&#1044;&#1040;&#1052;&#1059;/01_&#1052;&#1086;&#1083;&#1086;&#1095;&#1085;&#1072;&#1103;%20&#1092;&#1077;&#1088;&#1084;&#1072;/&#1052;&#1051;&#1044;&#1050;%20&#1060;3+&#1060;2%20&#1073;&#1077;&#1079;%20&#1048;&#1060;&#1050;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hashpan_zh\temp\ERLAN\Zakluchenia\&#1040;&#1050;&#1058;&#1048;&#1042;\Proj_&#1040;&#1050;&#1058;&#1048;&#1042;_7&#1083;&#1077;&#1090;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c\&#1086;&#1073;&#1097;&#1080;&#1077;%20&#1076;&#1086;&#1082;&#1091;&#1084;&#1077;&#1085;&#1090;&#1099;\WINDOWS\TEMP\Rar$DI01.712\&#1069;&#1082;&#1086;&#1090;&#1086;&#1085;%2011.03.0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_altynbai/&#1052;&#1086;&#1080;%20&#1076;&#1086;&#1082;&#1091;&#1084;&#1077;&#1085;&#1090;&#1099;/&#1052;&#1086;&#1080;%20&#1087;&#1088;&#1086;&#1077;&#1082;&#1090;&#1099;/&#1060;&#1072;&#1088;&#1084;%20&#1043;&#1083;&#1072;&#1089;&#1089;/+&#1058;&#1041;&#1054;-&#1040;&#1082;&#1090;&#1086;&#1073;&#1077;_board/&#1047;&#1072;&#1082;&#1083;&#1102;&#1095;&#1077;&#1085;&#1080;&#1077;/&#1041;&#1055;%20&#1058;&#1041;&#1054;%20&#1040;&#1082;&#1090;&#1086;&#1073;&#1077;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2;&#1080;&#1093;&#1072;&#1080;&#1083;/Documents/&#1044;&#1086;&#1082;&#1091;&#1084;&#1077;&#1085;&#1090;&#1099;%20&#1040;&#1085;&#1092;&#1080;&#1085;&#1086;&#1075;&#1077;&#1085;&#1086;&#1074;/&#1056;&#1072;&#1089;&#1095;&#1077;&#1090;&#1099;,%20&#1041;&#1055;/2009-2010/21_&#1058;&#1077;&#1082;&#1089;&#1090;&#1080;&#1083;&#1100;&#1085;&#1072;&#1103;%20&#1092;&#1072;&#1073;&#1088;&#1080;&#1082;&#1072;/&#1056;&#1072;&#1089;&#1095;&#1077;&#1090;%20&#1090;&#1077;&#1082;&#1089;&#1090;&#1080;&#1083;&#1100;_&#1089;%20&#1082;&#1086;&#1088;_01.05.10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2;&#1080;&#1093;&#1072;&#1080;&#1083;/Documents/&#1044;&#1086;&#1082;&#1091;&#1084;&#1077;&#1085;&#1090;&#1099;%20&#1040;&#1085;&#1092;&#1080;&#1085;&#1086;&#1075;&#1077;&#1085;&#1086;&#1074;/&#1056;&#1072;&#1089;&#1095;&#1077;&#1090;&#1099;,%20&#1041;&#1055;/2011-2012/84-103_&#1058;&#1080;&#1087;&#1086;&#1074;&#1099;&#1077;%20&#1044;&#1040;&#1052;&#1059;/01_&#1052;&#1086;&#1083;&#1086;&#1095;&#1085;&#1072;&#1103;%20&#1092;&#1077;&#1088;&#1084;&#1072;/Documents%20and%20Settings/q/&#1056;&#1072;&#1073;&#1086;&#1095;&#1080;&#1081;%20&#1089;&#1090;&#1086;&#1083;/&#1056;&#1040;&#1057;&#1063;&#1045;&#1058;&#1067;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usmanov\&#1052;&#1086;&#1080;%20&#1076;&#1086;&#1082;&#1091;&#1084;&#1077;&#1085;&#1090;&#1099;\Documents%20and%20Settings\kusmanov\Desktop\&#1069;&#1082;&#1086;&#1090;&#1086;&#1085;+_&#1040;&#1082;&#1090;&#1102;&#1073;&#1080;&#1085;&#1089;&#1082;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2;&#1080;&#1093;&#1072;&#1080;&#1083;/Documents/&#1044;&#1086;&#1082;&#1091;&#1084;&#1077;&#1085;&#1090;&#1099;%20&#1040;&#1085;&#1092;&#1080;&#1085;&#1086;&#1075;&#1077;&#1085;&#1086;&#1074;/&#1056;&#1072;&#1089;&#1095;&#1077;&#1090;&#1099;,%20&#1041;&#1055;/2010-2011/50_&#1040;&#1075;&#1088;&#1086;&#1093;&#1086;&#1083;&#1076;&#1080;&#1085;&#1075;/_&#1043;&#1086;&#1090;&#1086;&#1074;&#1099;&#1077;%20&#1074;&#1072;&#1088;&#1080;&#1072;&#1085;&#1090;&#1099;/&#1085;&#1072;%2026.08.11_&#1074;&#1077;&#1090;&#1088;&#1103;&#1082;&#1080;/&#1056;&#1072;&#1089;&#1095;&#1077;&#1090;%20&#1040;&#1055;&#1050;_26.08.11%20-%20&#1082;&#1086;&#1087;&#1080;&#1103;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2;&#1080;&#1093;&#1072;&#1080;&#1083;/Documents/&#1044;&#1086;&#1082;&#1091;&#1084;&#1077;&#1085;&#1090;&#1099;%20&#1040;&#1085;&#1092;&#1080;&#1085;&#1086;&#1075;&#1077;&#1085;&#1086;&#1074;/&#1056;&#1072;&#1089;&#1095;&#1077;&#1090;&#1099;,%20&#1041;&#1055;/2009-2010/21_&#1058;&#1077;&#1082;&#1089;&#1090;&#1080;&#1083;&#1100;&#1085;&#1072;&#1103;%20&#1092;&#1072;&#1073;&#1088;&#1080;&#1082;&#1072;/test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/test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2;&#1080;&#1093;&#1072;&#1080;&#1083;/Documents/&#1044;&#1086;&#1082;&#1091;&#1084;&#1077;&#1085;&#1090;&#1099;%20&#1040;&#1085;&#1092;&#1080;&#1085;&#1086;&#1075;&#1077;&#1085;&#1086;&#1074;/&#1056;&#1072;&#1089;&#1095;&#1077;&#1090;&#1099;,%20&#1041;&#1055;/2010-2011/50_&#1040;&#1075;&#1088;&#1086;&#1093;&#1086;&#1083;&#1076;&#1080;&#1085;&#1075;/_&#1043;&#1086;&#1090;&#1086;&#1074;&#1099;&#1077;%20&#1074;&#1072;&#1088;&#1080;&#1072;&#1085;&#1090;&#1099;/&#1085;&#1072;%2026.08.11_&#1074;&#1077;&#1090;&#1088;&#1103;&#1082;&#1080;/Users/&#1052;&#1080;&#1093;&#1072;&#1080;&#1083;/Documents/&#1044;&#1086;&#1082;&#1091;&#1084;&#1077;&#1085;&#1090;&#1099;%20&#1040;&#1085;&#1092;&#1080;&#1085;&#1086;&#1075;&#1077;&#1085;&#1086;&#1074;/&#1056;&#1072;&#1089;&#1095;&#1077;&#1090;&#1099;,%20&#1041;&#1055;/2009-2010/29_&#1055;&#1088;&#1086;&#1080;&#1079;&#1074;&#1086;&#1076;&#1089;&#1090;&#1074;&#1086;%20&#1082;&#1080;&#1089;&#1083;&#1086;&#1084;&#1086;&#1083;&#1086;&#1095;&#1085;&#1099;&#1093;%20&#1085;&#1072;&#1087;&#1080;&#1090;&#1082;&#1086;&#1074;/test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2;&#1080;&#1093;&#1072;&#1080;&#1083;/Documents/&#1044;&#1086;&#1082;&#1091;&#1084;&#1077;&#1085;&#1090;&#1099;%20&#1040;&#1085;&#1092;&#1080;&#1085;&#1086;&#1075;&#1077;&#1085;&#1086;&#1074;/&#1056;&#1072;&#1089;&#1095;&#1077;&#1090;&#1099;,%20&#1041;&#1055;/2011-2012/84-103_&#1058;&#1080;&#1087;&#1086;&#1074;&#1099;&#1077;%20&#1044;&#1040;&#1052;&#1059;/01_&#1052;&#1086;&#1083;&#1086;&#1095;&#1085;&#1072;&#1103;%20&#1092;&#1077;&#1088;&#1084;&#1072;/test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c\&#1086;&#1073;&#1097;&#1080;&#1077;%20&#1076;&#1086;&#1082;&#1091;&#1084;&#1077;&#1085;&#1090;&#1099;\&#1052;&#1086;&#1080;%20&#1076;&#1086;&#1082;&#1091;&#1084;&#1077;&#1085;&#1090;&#1099;\&#1064;&#1072;&#1073;&#1083;&#1086;&#1085;&#1099;\&#1064;&#1072;&#1073;&#1083;&#1086;&#1085;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2;&#1080;&#1093;&#1072;&#1080;&#1083;/Documents/&#1044;&#1086;&#1082;&#1091;&#1084;&#1077;&#1085;&#1090;&#1099;%20&#1040;&#1085;&#1092;&#1080;&#1085;&#1086;&#1075;&#1077;&#1085;&#1086;&#1074;/&#1056;&#1072;&#1089;&#1095;&#1077;&#1090;&#1099;,%20&#1041;&#1055;/2009-2010/21_&#1058;&#1077;&#1082;&#1089;&#1090;&#1080;&#1083;&#1100;&#1085;&#1072;&#1103;%20&#1092;&#1072;&#1073;&#1088;&#1080;&#1082;&#1072;/DOCUME~1/I_FROL~1/LOCALS~1/Temp/bat/ENKI/&#1053;&#1077;&#1088;&#1091;&#1076;%20&#1084;&#1086;&#1080;%20&#1088;&#1072;&#1089;&#1095;&#1105;&#1090;&#1099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2;&#1080;&#1093;&#1072;&#1080;&#1083;/Documents/&#1044;&#1086;&#1082;&#1091;&#1084;&#1077;&#1085;&#1090;&#1099;%20&#1040;&#1085;&#1092;&#1080;&#1085;&#1086;&#1075;&#1077;&#1085;&#1086;&#1074;/&#1056;&#1072;&#1089;&#1095;&#1077;&#1090;&#1099;,%20&#1041;&#1055;/2010-2011/65_&#1069;&#1083;&#1077;&#1074;&#1072;&#1090;&#1086;&#1088;&#1099;/_&#1056;&#1072;&#1089;&#1095;&#1077;&#1090;&#1099;/Documents%20and%20Settings/b_altynbai/&#1052;&#1086;&#1080;%20&#1076;&#1086;&#1082;&#1091;&#1084;&#1077;&#1085;&#1090;&#1099;/&#1052;&#1086;&#1080;%20&#1087;&#1088;&#1086;&#1077;&#1082;&#1090;&#1099;/&#1060;&#1072;&#1088;&#1084;%20&#1043;&#1083;&#1072;&#1089;&#1089;/+&#1058;&#1041;&#1054;-&#1040;&#1082;&#1090;&#1086;&#1073;&#1077;_board/&#1047;&#1072;&#1082;&#1083;&#1102;&#1095;&#1077;&#1085;&#1080;&#1077;/&#1041;&#1055;%20&#1058;&#1041;&#1054;%20&#1040;&#1082;&#1090;&#1086;&#1073;&#1077;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I_FROL~1/LOCALS~1/Temp/bat/ENKI/&#1053;&#1077;&#1088;&#1091;&#1076;%20&#1084;&#1086;&#1080;%20&#1088;&#1072;&#1089;&#1095;&#1105;&#1090;&#1099;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2;&#1080;&#1093;&#1072;&#1080;&#1083;/Documents/&#1044;&#1086;&#1082;&#1091;&#1084;&#1077;&#1085;&#1090;&#1099;%20&#1040;&#1085;&#1092;&#1080;&#1085;&#1086;&#1075;&#1077;&#1085;&#1086;&#1074;/&#1056;&#1072;&#1089;&#1095;&#1077;&#1090;&#1099;,%20&#1041;&#1055;/2011-2012/84-103_&#1058;&#1080;&#1087;&#1086;&#1074;&#1099;&#1077;%20&#1044;&#1040;&#1052;&#1059;/01_&#1052;&#1086;&#1083;&#1086;&#1095;&#1085;&#1072;&#1103;%20&#1092;&#1077;&#1088;&#1084;&#1072;/DOCUME~1/I_FROL~1/LOCALS~1/Temp/bat/ENKI/&#1053;&#1077;&#1088;&#1091;&#1076;%20&#1084;&#1086;&#1080;%20&#1088;&#1072;&#1089;&#1095;&#1105;&#1090;&#1099;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2;&#1080;&#1093;&#1072;&#1080;&#1083;/Documents/&#1044;&#1086;&#1082;&#1091;&#1084;&#1077;&#1085;&#1090;&#1099;%20&#1040;&#1085;&#1092;&#1080;&#1085;&#1086;&#1075;&#1077;&#1085;&#1086;&#1074;/&#1056;&#1072;&#1089;&#1095;&#1077;&#1090;&#1099;,%20&#1041;&#1055;/2009-2010/21_&#1058;&#1077;&#1082;&#1089;&#1090;&#1080;&#1083;&#1100;&#1085;&#1072;&#1103;%20&#1092;&#1072;&#1073;&#1088;&#1080;&#1082;&#1072;/DOCUME~1/G_SVEC~1/LOCALS~1/Temp/bat/15E674EE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G_SVEC~1/LOCALS~1/Temp/bat/15E674EE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2;&#1080;&#1093;&#1072;&#1080;&#1083;/Documents/&#1044;&#1086;&#1082;&#1091;&#1084;&#1077;&#1085;&#1090;&#1099;%20&#1040;&#1085;&#1092;&#1080;&#1085;&#1086;&#1075;&#1077;&#1085;&#1086;&#1074;/&#1056;&#1072;&#1089;&#1095;&#1077;&#1090;&#1099;,%20&#1041;&#1055;/2011-2012/84-103_&#1058;&#1080;&#1087;&#1086;&#1074;&#1099;&#1077;%20&#1044;&#1040;&#1052;&#1059;/01_&#1052;&#1086;&#1083;&#1086;&#1095;&#1085;&#1072;&#1103;%20&#1092;&#1077;&#1088;&#1084;&#1072;/DOCUME~1/G_SVEC~1/LOCALS~1/Temp/bat/15E674EE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2;&#1080;&#1093;&#1072;&#1080;&#1083;/Documents/&#1044;&#1086;&#1082;&#1091;&#1084;&#1077;&#1085;&#1090;&#1099;%20&#1040;&#1085;&#1092;&#1080;&#1085;&#1086;&#1075;&#1077;&#1085;&#1086;&#1074;/&#1056;&#1072;&#1089;&#1095;&#1077;&#1090;&#1099;,%20&#1041;&#1055;/2011-2012/84-103_&#1058;&#1080;&#1087;&#1086;&#1074;&#1099;&#1077;%20&#1044;&#1040;&#1052;&#1059;/01_&#1052;&#1086;&#1083;&#1086;&#1095;&#1085;&#1072;&#1103;%20&#1092;&#1077;&#1088;&#1084;&#1072;/&#1052;&#1086;&#1080;%20&#1076;&#1086;&#1082;&#1091;&#1084;&#1077;&#1085;&#1090;&#1099;/&#1055;&#1056;&#1054;&#1045;&#1050;&#1058;&#1067;/&#1041;&#1055;%20&#1070;&#1076;&#1072;&#1096;&#1082;&#1080;&#1085;/&#1070;&#1076;&#1072;&#1096;&#1082;&#1080;&#1085;%20&#1075;&#1086;&#1090;&#1086;&#1074;&#1099;&#1081;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2;&#1080;&#1093;&#1072;&#1080;&#1083;/Documents/&#1044;&#1086;&#1082;&#1091;&#1084;&#1077;&#1085;&#1090;&#1099;%20&#1040;&#1085;&#1092;&#1080;&#1085;&#1086;&#1075;&#1077;&#1085;&#1086;&#1074;/&#1056;&#1072;&#1089;&#1095;&#1077;&#1090;&#1099;,%20&#1041;&#1055;/2011-2012/84-103_&#1058;&#1080;&#1087;&#1086;&#1074;&#1099;&#1077;%20&#1044;&#1040;&#1052;&#1059;/01_&#1052;&#1086;&#1083;&#1086;&#1095;&#1085;&#1072;&#1103;%20&#1092;&#1077;&#1088;&#1084;&#1072;/&#1052;&#1086;&#1080;%20&#1076;&#1086;&#1082;&#1091;&#1084;&#1077;&#1085;&#1090;&#1099;/&#1055;&#1056;&#1054;&#1045;&#1050;&#1058;&#1067;/&#1055;&#1088;&#1086;&#1095;&#1080;&#1077;%20&#1087;&#1088;&#1086;&#1077;&#1082;&#1090;&#1099;/&#1050;&#1072;&#1092;&#1077;/&#1058;&#1069;&#1054;%2010.09.08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86;&#1082;&#1091;&#1084;&#1077;&#1085;&#1090;&#1099;%20&#1040;&#1085;&#1092;&#1080;&#1085;&#1086;&#1075;&#1077;&#1085;&#1086;&#1074;/&#1056;&#1072;&#1089;&#1095;&#1077;&#1090;&#1099;,%20&#1041;&#1055;/&#1052;&#1080;&#1085;&#1080;&#1084;&#1072;&#1088;&#1082;&#1077;&#1090;%20&#1085;&#1072;%205%20&#1084;&#1083;&#1085;/&#1056;&#1072;&#1089;&#1095;&#1077;&#1090;%20&#1087;&#1086;%20&#1084;&#1080;&#1085;&#1080;&#1084;&#1072;&#1088;&#1082;&#1077;&#1090;&#1091;%2011,5%25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2;&#1080;&#1093;&#1072;&#1080;&#1083;/Documents/&#1044;&#1086;&#1082;&#1091;&#1084;&#1077;&#1085;&#1090;&#1099;%20&#1040;&#1085;&#1092;&#1080;&#1085;&#1086;&#1075;&#1077;&#1085;&#1086;&#1074;/&#1056;&#1072;&#1089;&#1095;&#1077;&#1090;&#1099;,%20&#1041;&#1055;/2009-2010/21_&#1058;&#1077;&#1082;&#1089;&#1090;&#1080;&#1083;&#1100;&#1085;&#1072;&#1103;%20&#1092;&#1072;&#1073;&#1088;&#1080;&#1082;&#1072;/Documents%20and%20Settings/&#1040;&#1076;&#1084;&#1080;&#1085;&#1080;&#1089;&#1090;&#1088;&#1072;&#1090;&#1086;&#1088;/&#1056;&#1072;&#1073;&#1086;&#1095;&#1080;&#1081;%20&#1089;&#1090;&#1086;&#1083;/&#1041;&#1055;/&#1041;&#1055;%20&#1082;&#1080;&#1088;%20&#1079;&#1072;&#1074;&#1086;&#1076;%203.3%20%20(40%20&#1084;&#1083;&#1085;.%20+20%20&#1079;&#1072;&#1073;&#1091;&#1090;%20&#1088;&#1077;&#1072;&#1083;%20&#1085;&#1072;%2018.07.06%20&#1076;&#1083;&#1103;%20&#1040;&#1060;%20&#1091;&#1074;&#1077;&#1083;%20&#1082;&#1091;&#1088;&#1089;)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&#1040;&#1076;&#1084;&#1080;&#1085;&#1080;&#1089;&#1090;&#1088;&#1072;&#1090;&#1086;&#1088;/&#1056;&#1072;&#1073;&#1086;&#1095;&#1080;&#1081;%20&#1089;&#1090;&#1086;&#1083;/&#1041;&#1055;/&#1041;&#1055;%20&#1082;&#1080;&#1088;%20&#1079;&#1072;&#1074;&#1086;&#1076;%203.3%20%20(40%20&#1084;&#1083;&#1085;.%20+20%20&#1079;&#1072;&#1073;&#1091;&#1090;%20&#1088;&#1077;&#1072;&#1083;%20&#1085;&#1072;%2018.07.06%20&#1076;&#1083;&#1103;%20&#1040;&#1060;%20&#1091;&#1074;&#1077;&#1083;%20&#1082;&#1091;&#1088;&#1089;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c\&#1086;&#1073;&#1097;&#1080;&#1077;%20&#1076;&#1086;&#1082;&#1091;&#1084;&#1077;&#1085;&#1090;&#1099;\Documents%20and%20Settings\m_anfinogenov\&#1056;&#1072;&#1073;&#1086;&#1095;&#1080;&#1081;%20&#1089;&#1090;&#1086;&#1083;\&#1047;&#1086;&#1083;&#1086;&#1090;&#1086;&#1081;%20&#1087;&#1088;&#1080;&#1080;&#1089;&#1082;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2;&#1080;&#1093;&#1072;&#1080;&#1083;/Documents/&#1044;&#1086;&#1082;&#1091;&#1084;&#1077;&#1085;&#1090;&#1099;%20&#1040;&#1085;&#1092;&#1080;&#1085;&#1086;&#1075;&#1077;&#1085;&#1086;&#1074;/&#1056;&#1072;&#1089;&#1095;&#1077;&#1090;&#1099;,%20&#1041;&#1055;/2011-2012/84-103_&#1058;&#1080;&#1087;&#1086;&#1074;&#1099;&#1077;%20&#1044;&#1040;&#1052;&#1059;/01_&#1052;&#1086;&#1083;&#1086;&#1095;&#1085;&#1072;&#1103;%20&#1092;&#1077;&#1088;&#1084;&#1072;/Documents%20and%20Settings/&#1040;&#1076;&#1084;&#1080;&#1085;&#1080;&#1089;&#1090;&#1088;&#1072;&#1090;&#1086;&#1088;/&#1056;&#1072;&#1073;&#1086;&#1095;&#1080;&#1081;%20&#1089;&#1090;&#1086;&#1083;/&#1041;&#1055;/&#1041;&#1055;%20&#1082;&#1080;&#1088;%20&#1079;&#1072;&#1074;&#1086;&#1076;%203.3%20%20(40%20&#1084;&#1083;&#1085;.%20+20%20&#1079;&#1072;&#1073;&#1091;&#1090;%20&#1088;&#1077;&#1072;&#1083;%20&#1085;&#1072;%2018.07.06%20&#1076;&#1083;&#1103;%20&#1040;&#1060;%20&#1091;&#1074;&#1077;&#1083;%20&#1082;&#1091;&#1088;&#1089;)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2;&#1080;&#1093;&#1072;&#1080;&#1083;/Documents/&#1044;&#1086;&#1082;&#1091;&#1084;&#1077;&#1085;&#1090;&#1099;%20&#1040;&#1085;&#1092;&#1080;&#1085;&#1086;&#1075;&#1077;&#1085;&#1086;&#1074;/&#1056;&#1072;&#1089;&#1095;&#1077;&#1090;&#1099;,%20&#1041;&#1055;/2009-2010/21_&#1058;&#1077;&#1082;&#1089;&#1090;&#1080;&#1083;&#1100;&#1085;&#1072;&#1103;%20&#1092;&#1072;&#1073;&#1088;&#1080;&#1082;&#1072;/&#1052;&#1086;&#1080;%20&#1076;&#1086;&#1082;&#1091;&#1084;&#1077;&#1085;&#1090;&#1099;/&#1055;&#1088;&#1086;&#1077;&#1082;&#1090;&#1099;/&#1050;&#1080;&#1088;&#1087;&#1080;&#1095;/&#1041;&#1080;&#1079;&#1085;&#1077;&#1089;-&#1087;&#1083;&#1072;&#1085;/&#1041;&#1055;%20&#1082;&#1080;&#1088;%20&#1079;&#1072;&#1074;&#1086;&#1076;%204%20%20(14.01.08)%20&#1087;&#1077;&#1089;&#1089;&#1080;&#1084;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86;&#1080;%20&#1076;&#1086;&#1082;&#1091;&#1084;&#1077;&#1085;&#1090;&#1099;/&#1055;&#1088;&#1086;&#1077;&#1082;&#1090;&#1099;/&#1050;&#1080;&#1088;&#1087;&#1080;&#1095;/&#1041;&#1080;&#1079;&#1085;&#1077;&#1089;-&#1087;&#1083;&#1072;&#1085;/&#1041;&#1055;%20&#1082;&#1080;&#1088;%20&#1079;&#1072;&#1074;&#1086;&#1076;%204%20%20(14.01.08)%20&#1087;&#1077;&#1089;&#1089;&#1080;&#1084;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2;&#1080;&#1093;&#1072;&#1080;&#1083;/Documents/&#1044;&#1086;&#1082;&#1091;&#1084;&#1077;&#1085;&#1090;&#1099;%20&#1040;&#1085;&#1092;&#1080;&#1085;&#1086;&#1075;&#1077;&#1085;&#1086;&#1074;/&#1056;&#1072;&#1089;&#1095;&#1077;&#1090;&#1099;,%20&#1041;&#1055;/2011-2012/84-103_&#1058;&#1080;&#1087;&#1086;&#1074;&#1099;&#1077;%20&#1044;&#1040;&#1052;&#1059;/01_&#1052;&#1086;&#1083;&#1086;&#1095;&#1085;&#1072;&#1103;%20&#1092;&#1077;&#1088;&#1084;&#1072;/&#1052;&#1086;&#1080;%20&#1076;&#1086;&#1082;&#1091;&#1084;&#1077;&#1085;&#1090;&#1099;/&#1055;&#1088;&#1086;&#1077;&#1082;&#1090;&#1099;/&#1050;&#1080;&#1088;&#1087;&#1080;&#1095;/&#1041;&#1080;&#1079;&#1085;&#1077;&#1089;-&#1087;&#1083;&#1072;&#1085;/&#1041;&#1055;%20&#1082;&#1080;&#1088;%20&#1079;&#1072;&#1074;&#1086;&#1076;%204%20%20(14.01.08)%20&#1087;&#1077;&#1089;&#1089;&#1080;&#1084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BAL_&#1047;&#1077;&#1088;&#1085;&#1051;&#1050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c\&#1086;&#1073;&#1097;&#1080;&#1077;%20&#1076;&#1086;&#1082;&#1091;&#1084;&#1077;&#1085;&#1090;&#1099;\Documents%20and%20Settings\kusmanov\&#1052;&#1086;&#1080;%20&#1076;&#1086;&#1082;&#1091;&#1084;&#1077;&#1085;&#1090;&#1099;\&#1048;&#1085;&#1092;&#1086;&#1088;&#1084;\&#1041;&#1087;%20breton\&#1041;&#1087;%20breton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c\&#1086;&#1073;&#1097;&#1080;&#1077;%20&#1076;&#1086;&#1082;&#1091;&#1084;&#1077;&#1085;&#1090;&#1099;\DOCUME~1\GH_KUS~1\LOCALS~1\Temp\bat\&#1041;&#1055;%20&#1082;&#1080;&#1088;%20&#1079;&#1072;&#1074;&#1086;&#1076;%203.3%20%20(40%20&#1084;&#1083;&#1085;.%20+20%20&#1079;&#1072;&#1073;&#1091;&#1090;%20&#1088;&#1077;&#1072;&#1083;%20&#1085;&#1072;%2018.07.06%20&#1076;&#1083;&#1103;%20&#1040;&#1060;%20&#1091;&#1074;&#1077;&#1083;%20&#1082;&#1091;&#1088;&#1089;)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2;&#1080;&#1093;&#1072;&#1080;&#1083;/Documents/&#1044;&#1086;&#1082;&#1091;&#1084;&#1077;&#1085;&#1090;&#1099;%20&#1040;&#1085;&#1092;&#1080;&#1085;&#1086;&#1075;&#1077;&#1085;&#1086;&#1074;/&#1056;&#1072;&#1089;&#1095;&#1077;&#1090;&#1099;,%20&#1041;&#1055;/2009-2010/21_&#1058;&#1077;&#1082;&#1089;&#1090;&#1080;&#1083;&#1100;&#1085;&#1072;&#1103;%20&#1092;&#1072;&#1073;&#1088;&#1080;&#1082;&#1072;/Documents%20and%20Settings/G_Ibraeva/&#1056;&#1072;&#1073;&#1086;&#1095;&#1080;&#1081;%20&#1089;&#1090;&#1086;&#1083;/DOCUME~1/AHMETO~1/LOCALS~1/Temp/Rar$DI00.531/&#1041;&#1102;&#1076;&#1078;&#1077;&#1090;&#1055;&#1088;&#1086;&#1076;&#1072;&#1078;&#1042;&#1085;&#1077;&#1096;&#1085;&#1080;&#1081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лавн"/>
      <sheetName val="Пояснения"/>
      <sheetName val="Эффективность"/>
      <sheetName val="Рас.эффект"/>
      <sheetName val="№ 2 Товар.выпуск"/>
      <sheetName val="№ 3 Реализация"/>
      <sheetName val="Доходы"/>
      <sheetName val="Себест реал"/>
      <sheetName val="Cash"/>
      <sheetName val="CF"/>
      <sheetName val="P&amp;L"/>
      <sheetName val="Кредиты"/>
      <sheetName val="Кредиты 2"/>
      <sheetName val="Кредиты 3"/>
      <sheetName val="№ 1 Произв.прогр"/>
      <sheetName val="Произв.мощн"/>
      <sheetName val="График работ"/>
      <sheetName val="Invest"/>
      <sheetName val="Лист1"/>
      <sheetName val="Граф кап инвестиц"/>
      <sheetName val="Граф произв инвестиц"/>
      <sheetName val="Амортиз"/>
      <sheetName val="Спр.мат"/>
      <sheetName val="Материалы"/>
      <sheetName val="№ 4 Материалы полн"/>
      <sheetName val="Материалы по ассорт"/>
      <sheetName val="Упаковка"/>
      <sheetName val="№ 4-1 Мат 0,5 ЗС"/>
      <sheetName val="№ 4-2 Мат 0,7 ЗС"/>
      <sheetName val="№ 4-3 Мат 0,5 обл"/>
      <sheetName val="№ 4-4 Мат 0,5 ст"/>
      <sheetName val="№ 4-5 Мат 0,5 ст шелкогр"/>
      <sheetName val="Мат 6"/>
      <sheetName val="Мат 7"/>
      <sheetName val="Мат 8"/>
      <sheetName val="Мат 9"/>
      <sheetName val="Мат 10"/>
      <sheetName val="Мат 11"/>
      <sheetName val="Мат 12"/>
      <sheetName val="Мат 13"/>
      <sheetName val="Мат 14"/>
      <sheetName val="Мат Тов-15"/>
      <sheetName val="Мат Тов-16"/>
      <sheetName val="Мат Тов-17"/>
      <sheetName val="Мат Тов-18"/>
      <sheetName val="Мат Тов-19"/>
      <sheetName val="Мат Тов-20"/>
      <sheetName val="№ 5 Энерго"/>
      <sheetName val="Персонал"/>
      <sheetName val="Налоги"/>
      <sheetName val="№ 6-1 Свод затрат без НДС"/>
      <sheetName val="№ 6-2 Свод затрат с НДС"/>
      <sheetName val="№ 7 КАЛЬКУЛ 1-2"/>
      <sheetName val="№ 7 КАЛЬКУЛ 3-4"/>
      <sheetName val="КАЛЬКУЛ 5"/>
      <sheetName val="Затраты по месяцам"/>
      <sheetName val="Нал на трансп"/>
      <sheetName val="Ставки соц"/>
      <sheetName val="Ставки под.физ"/>
      <sheetName val="ГСМ"/>
      <sheetName val="График"/>
    </sheetNames>
    <sheetDataSet>
      <sheetData sheetId="0" refreshError="1">
        <row r="2">
          <cell r="C2" t="str">
            <v>Участники  Производство стеклотары</v>
          </cell>
        </row>
        <row r="7">
          <cell r="C7" t="str">
            <v>Участники</v>
          </cell>
        </row>
        <row r="8">
          <cell r="C8" t="str">
            <v>Банк Казахстан</v>
          </cell>
        </row>
        <row r="9">
          <cell r="C9" t="str">
            <v>Банк Иностранный</v>
          </cell>
        </row>
        <row r="10">
          <cell r="C10" t="str">
            <v>Банк Иностранный2</v>
          </cell>
        </row>
        <row r="19">
          <cell r="C19" t="str">
            <v>EUR</v>
          </cell>
        </row>
        <row r="21">
          <cell r="C21" t="str">
            <v>EUR</v>
          </cell>
        </row>
        <row r="31">
          <cell r="C31">
            <v>169</v>
          </cell>
        </row>
        <row r="35">
          <cell r="C35">
            <v>0</v>
          </cell>
        </row>
        <row r="41">
          <cell r="D41">
            <v>1</v>
          </cell>
          <cell r="E41">
            <v>1</v>
          </cell>
          <cell r="F41">
            <v>1</v>
          </cell>
          <cell r="G41">
            <v>1</v>
          </cell>
          <cell r="H41">
            <v>1</v>
          </cell>
        </row>
        <row r="42">
          <cell r="D42">
            <v>0.14000000000000001</v>
          </cell>
          <cell r="E42">
            <v>0.14000000000000001</v>
          </cell>
          <cell r="F42">
            <v>0.14000000000000001</v>
          </cell>
          <cell r="G42">
            <v>0.14000000000000001</v>
          </cell>
          <cell r="H42">
            <v>0.14000000000000001</v>
          </cell>
          <cell r="I42">
            <v>0.12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0.01</v>
          </cell>
          <cell r="J44">
            <v>0.01</v>
          </cell>
          <cell r="K44">
            <v>0.01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0.3</v>
          </cell>
          <cell r="J46">
            <v>0.3</v>
          </cell>
          <cell r="K46">
            <v>0.3</v>
          </cell>
        </row>
        <row r="48">
          <cell r="D48">
            <v>0.18</v>
          </cell>
          <cell r="E48">
            <v>0.18</v>
          </cell>
          <cell r="F48">
            <v>0.18</v>
          </cell>
          <cell r="G48">
            <v>0.18</v>
          </cell>
          <cell r="H48">
            <v>0.18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9">
          <cell r="C9" t="str">
            <v>Земля</v>
          </cell>
          <cell r="H9">
            <v>320359.28143712576</v>
          </cell>
          <cell r="I9" t="str">
            <v>1,7</v>
          </cell>
          <cell r="L9">
            <v>0</v>
          </cell>
          <cell r="P9">
            <v>0</v>
          </cell>
          <cell r="T9">
            <v>0</v>
          </cell>
        </row>
        <row r="10">
          <cell r="C10" t="str">
            <v>Прочие</v>
          </cell>
          <cell r="H10">
            <v>1430167.4321260366</v>
          </cell>
          <cell r="I10" t="str">
            <v>1,8</v>
          </cell>
          <cell r="L10">
            <v>0</v>
          </cell>
          <cell r="P10">
            <v>286781.17998506344</v>
          </cell>
          <cell r="Q10" t="str">
            <v>1,9</v>
          </cell>
          <cell r="T10">
            <v>0</v>
          </cell>
        </row>
        <row r="11">
          <cell r="H11">
            <v>0</v>
          </cell>
          <cell r="L11">
            <v>0</v>
          </cell>
          <cell r="P11">
            <v>0</v>
          </cell>
          <cell r="T11">
            <v>0</v>
          </cell>
        </row>
        <row r="14">
          <cell r="C14" t="str">
            <v>Производственное оборудование</v>
          </cell>
          <cell r="H14">
            <v>0</v>
          </cell>
          <cell r="L14">
            <v>0</v>
          </cell>
          <cell r="P14">
            <v>36711270</v>
          </cell>
          <cell r="Q14" t="str">
            <v>1,8</v>
          </cell>
          <cell r="T14">
            <v>0</v>
          </cell>
          <cell r="U14" t="str">
            <v>1,1</v>
          </cell>
        </row>
        <row r="15">
          <cell r="C15" t="str">
            <v>Производственное оборудование</v>
          </cell>
          <cell r="H15">
            <v>0</v>
          </cell>
          <cell r="L15">
            <v>0</v>
          </cell>
          <cell r="P15">
            <v>3812038.8349514562</v>
          </cell>
          <cell r="Q15" t="str">
            <v>1,8</v>
          </cell>
          <cell r="T15">
            <v>0</v>
          </cell>
        </row>
        <row r="16">
          <cell r="C16" t="str">
            <v>Производственное оборудование</v>
          </cell>
          <cell r="H16">
            <v>0</v>
          </cell>
          <cell r="L16">
            <v>0</v>
          </cell>
          <cell r="P16">
            <v>823002.24047796871</v>
          </cell>
          <cell r="Q16" t="str">
            <v>1,8</v>
          </cell>
          <cell r="T16">
            <v>0</v>
          </cell>
        </row>
        <row r="17">
          <cell r="C17" t="str">
            <v>Производственное оборудование</v>
          </cell>
          <cell r="H17">
            <v>0</v>
          </cell>
          <cell r="L17">
            <v>0</v>
          </cell>
          <cell r="P17">
            <v>900000</v>
          </cell>
          <cell r="Q17" t="str">
            <v>1,8</v>
          </cell>
          <cell r="T17">
            <v>0</v>
          </cell>
        </row>
        <row r="18">
          <cell r="C18" t="str">
            <v>Прочие</v>
          </cell>
          <cell r="H18">
            <v>0</v>
          </cell>
          <cell r="L18">
            <v>0</v>
          </cell>
          <cell r="P18">
            <v>1060000</v>
          </cell>
          <cell r="Q18" t="str">
            <v>1,8</v>
          </cell>
          <cell r="T18">
            <v>0</v>
          </cell>
        </row>
        <row r="19">
          <cell r="C19" t="str">
            <v>Прочие</v>
          </cell>
          <cell r="H19">
            <v>0</v>
          </cell>
          <cell r="L19">
            <v>0</v>
          </cell>
          <cell r="P19">
            <v>1320000</v>
          </cell>
          <cell r="Q19" t="str">
            <v>1,8</v>
          </cell>
          <cell r="T19">
            <v>0</v>
          </cell>
        </row>
        <row r="20">
          <cell r="C20" t="str">
            <v>Прочие</v>
          </cell>
          <cell r="H20">
            <v>1170104.3400000001</v>
          </cell>
          <cell r="I20" t="str">
            <v>2,5</v>
          </cell>
          <cell r="L20">
            <v>0</v>
          </cell>
          <cell r="P20">
            <v>815434.58215568983</v>
          </cell>
          <cell r="Q20" t="str">
            <v>2,5</v>
          </cell>
          <cell r="T20">
            <v>0</v>
          </cell>
        </row>
        <row r="21">
          <cell r="C21" t="str">
            <v xml:space="preserve">Прочее оборудование </v>
          </cell>
          <cell r="H21">
            <v>410754.2942494399</v>
          </cell>
          <cell r="I21" t="str">
            <v>1,9</v>
          </cell>
          <cell r="L21">
            <v>0</v>
          </cell>
          <cell r="P21">
            <v>0</v>
          </cell>
          <cell r="T21">
            <v>0</v>
          </cell>
        </row>
        <row r="22">
          <cell r="C22" t="str">
            <v xml:space="preserve">Прочее оборудование </v>
          </cell>
          <cell r="H22">
            <v>0</v>
          </cell>
          <cell r="L22">
            <v>389614.3426779898</v>
          </cell>
          <cell r="M22" t="str">
            <v>1,12</v>
          </cell>
          <cell r="P22">
            <v>0</v>
          </cell>
          <cell r="T22">
            <v>0</v>
          </cell>
        </row>
        <row r="23">
          <cell r="H23">
            <v>0</v>
          </cell>
          <cell r="L23">
            <v>0</v>
          </cell>
          <cell r="P23">
            <v>0</v>
          </cell>
          <cell r="T23">
            <v>0</v>
          </cell>
        </row>
        <row r="24">
          <cell r="H24">
            <v>0</v>
          </cell>
          <cell r="L24">
            <v>0</v>
          </cell>
          <cell r="P24">
            <v>0</v>
          </cell>
          <cell r="T24">
            <v>0</v>
          </cell>
        </row>
        <row r="25">
          <cell r="H25">
            <v>0</v>
          </cell>
          <cell r="L25">
            <v>0</v>
          </cell>
          <cell r="P25">
            <v>0</v>
          </cell>
          <cell r="T25">
            <v>0</v>
          </cell>
        </row>
        <row r="26">
          <cell r="H26">
            <v>0</v>
          </cell>
          <cell r="L26">
            <v>0</v>
          </cell>
          <cell r="P26">
            <v>0</v>
          </cell>
          <cell r="T26">
            <v>0</v>
          </cell>
        </row>
        <row r="27">
          <cell r="H27">
            <v>0</v>
          </cell>
          <cell r="L27">
            <v>0</v>
          </cell>
          <cell r="P27">
            <v>0</v>
          </cell>
          <cell r="T27">
            <v>0</v>
          </cell>
        </row>
        <row r="28">
          <cell r="H28">
            <v>0</v>
          </cell>
          <cell r="L28">
            <v>0</v>
          </cell>
          <cell r="P28">
            <v>0</v>
          </cell>
          <cell r="T28">
            <v>0</v>
          </cell>
        </row>
        <row r="29">
          <cell r="H29">
            <v>0</v>
          </cell>
          <cell r="L29">
            <v>0</v>
          </cell>
          <cell r="P29">
            <v>0</v>
          </cell>
          <cell r="T29">
            <v>0</v>
          </cell>
        </row>
        <row r="30">
          <cell r="H30">
            <v>0</v>
          </cell>
          <cell r="L30">
            <v>0</v>
          </cell>
          <cell r="P30">
            <v>0</v>
          </cell>
          <cell r="T30">
            <v>0</v>
          </cell>
        </row>
        <row r="31">
          <cell r="H31">
            <v>0</v>
          </cell>
          <cell r="L31">
            <v>0</v>
          </cell>
          <cell r="P31">
            <v>0</v>
          </cell>
          <cell r="T31">
            <v>0</v>
          </cell>
        </row>
        <row r="32">
          <cell r="H32">
            <v>0</v>
          </cell>
          <cell r="L32">
            <v>0</v>
          </cell>
          <cell r="P32">
            <v>0</v>
          </cell>
          <cell r="T32">
            <v>0</v>
          </cell>
        </row>
        <row r="33">
          <cell r="H33">
            <v>1580858.6342494399</v>
          </cell>
          <cell r="L33">
            <v>389614.3426779898</v>
          </cell>
          <cell r="P33">
            <v>45441745.657585114</v>
          </cell>
          <cell r="T33">
            <v>0</v>
          </cell>
        </row>
        <row r="36">
          <cell r="H36">
            <v>0</v>
          </cell>
          <cell r="L36">
            <v>0</v>
          </cell>
          <cell r="P36">
            <v>0</v>
          </cell>
          <cell r="T36">
            <v>0</v>
          </cell>
        </row>
        <row r="37">
          <cell r="C37" t="str">
            <v>Прочие</v>
          </cell>
          <cell r="H37">
            <v>0</v>
          </cell>
          <cell r="L37">
            <v>173652.69461077845</v>
          </cell>
          <cell r="M37" t="str">
            <v>1,8</v>
          </cell>
          <cell r="P37">
            <v>0</v>
          </cell>
          <cell r="T37">
            <v>0</v>
          </cell>
        </row>
        <row r="38">
          <cell r="C38" t="str">
            <v>Здания, сооружения</v>
          </cell>
          <cell r="H38">
            <v>0</v>
          </cell>
          <cell r="L38">
            <v>0</v>
          </cell>
          <cell r="P38">
            <v>2673637.0425690813</v>
          </cell>
          <cell r="Q38" t="str">
            <v>1,9</v>
          </cell>
          <cell r="T38">
            <v>0</v>
          </cell>
        </row>
        <row r="39">
          <cell r="C39" t="str">
            <v>Здания, сооружения</v>
          </cell>
          <cell r="H39">
            <v>0</v>
          </cell>
          <cell r="L39">
            <v>0</v>
          </cell>
          <cell r="P39">
            <v>1784914.1150112024</v>
          </cell>
          <cell r="Q39" t="str">
            <v>1,9</v>
          </cell>
          <cell r="T39">
            <v>0</v>
          </cell>
        </row>
        <row r="40">
          <cell r="C40" t="str">
            <v>Здания, сооружения</v>
          </cell>
          <cell r="H40">
            <v>0</v>
          </cell>
          <cell r="L40">
            <v>0</v>
          </cell>
          <cell r="P40">
            <v>1045556.3853622107</v>
          </cell>
          <cell r="Q40" t="str">
            <v>1,11</v>
          </cell>
          <cell r="T40">
            <v>0</v>
          </cell>
        </row>
        <row r="41">
          <cell r="C41" t="str">
            <v>Здания, сооружения</v>
          </cell>
          <cell r="H41">
            <v>0</v>
          </cell>
          <cell r="L41">
            <v>0</v>
          </cell>
          <cell r="P41">
            <v>298730.39581777446</v>
          </cell>
          <cell r="Q41" t="str">
            <v>1,11</v>
          </cell>
          <cell r="T41">
            <v>0</v>
          </cell>
        </row>
        <row r="42">
          <cell r="C42" t="str">
            <v>Здания, сооружения</v>
          </cell>
          <cell r="H42">
            <v>0</v>
          </cell>
          <cell r="L42">
            <v>0</v>
          </cell>
          <cell r="P42">
            <v>291262.13592233008</v>
          </cell>
          <cell r="Q42" t="str">
            <v>1,12</v>
          </cell>
          <cell r="T42">
            <v>0</v>
          </cell>
        </row>
        <row r="43">
          <cell r="C43" t="str">
            <v>Прочие</v>
          </cell>
          <cell r="H43">
            <v>0</v>
          </cell>
          <cell r="L43">
            <v>0</v>
          </cell>
          <cell r="P43">
            <v>377147.12471994024</v>
          </cell>
          <cell r="Q43" t="str">
            <v>1,12</v>
          </cell>
          <cell r="T43">
            <v>0</v>
          </cell>
        </row>
        <row r="44">
          <cell r="C44" t="str">
            <v>Прочие</v>
          </cell>
          <cell r="H44">
            <v>0</v>
          </cell>
          <cell r="L44">
            <v>0</v>
          </cell>
          <cell r="P44">
            <v>1030619.8655713219</v>
          </cell>
          <cell r="Q44" t="str">
            <v>1,12</v>
          </cell>
          <cell r="T44">
            <v>0</v>
          </cell>
        </row>
        <row r="45">
          <cell r="H45">
            <v>0</v>
          </cell>
          <cell r="L45">
            <v>0</v>
          </cell>
          <cell r="P45">
            <v>0</v>
          </cell>
          <cell r="T45">
            <v>0</v>
          </cell>
        </row>
        <row r="46">
          <cell r="C46" t="str">
            <v>Прочие</v>
          </cell>
          <cell r="H46">
            <v>0</v>
          </cell>
          <cell r="L46">
            <v>143712.5748502994</v>
          </cell>
          <cell r="M46" t="str">
            <v>1,8</v>
          </cell>
          <cell r="P46">
            <v>0</v>
          </cell>
          <cell r="T46">
            <v>0</v>
          </cell>
        </row>
        <row r="47">
          <cell r="C47" t="str">
            <v>Прочие</v>
          </cell>
          <cell r="H47">
            <v>0</v>
          </cell>
          <cell r="L47">
            <v>86826.347305389223</v>
          </cell>
          <cell r="M47" t="str">
            <v>1,8</v>
          </cell>
          <cell r="P47">
            <v>0</v>
          </cell>
          <cell r="T47">
            <v>0</v>
          </cell>
        </row>
        <row r="48">
          <cell r="C48" t="str">
            <v>Прочие</v>
          </cell>
          <cell r="H48">
            <v>0</v>
          </cell>
          <cell r="L48">
            <v>543485.02994011971</v>
          </cell>
          <cell r="M48" t="str">
            <v>1,8</v>
          </cell>
          <cell r="P48">
            <v>0</v>
          </cell>
          <cell r="T48">
            <v>0</v>
          </cell>
        </row>
        <row r="49">
          <cell r="C49" t="str">
            <v>Прочие</v>
          </cell>
          <cell r="H49">
            <v>0</v>
          </cell>
          <cell r="L49">
            <v>271742.51497005986</v>
          </cell>
          <cell r="M49" t="str">
            <v>1,8</v>
          </cell>
          <cell r="P49">
            <v>0</v>
          </cell>
          <cell r="T49">
            <v>0</v>
          </cell>
        </row>
        <row r="50">
          <cell r="C50" t="str">
            <v>Прочие</v>
          </cell>
          <cell r="H50">
            <v>0</v>
          </cell>
          <cell r="L50">
            <v>191616.76646706587</v>
          </cell>
          <cell r="M50" t="str">
            <v>1,8</v>
          </cell>
          <cell r="P50">
            <v>0</v>
          </cell>
          <cell r="T50">
            <v>0</v>
          </cell>
        </row>
        <row r="51">
          <cell r="C51" t="str">
            <v>Здания, сооружения</v>
          </cell>
          <cell r="H51">
            <v>0</v>
          </cell>
          <cell r="L51">
            <v>1365269.4610778443</v>
          </cell>
          <cell r="M51" t="str">
            <v>1,8</v>
          </cell>
          <cell r="P51">
            <v>0</v>
          </cell>
          <cell r="T51">
            <v>0</v>
          </cell>
        </row>
        <row r="52">
          <cell r="C52" t="str">
            <v>Здания, сооружения</v>
          </cell>
          <cell r="H52">
            <v>0</v>
          </cell>
          <cell r="L52">
            <v>625748.50299401197</v>
          </cell>
          <cell r="M52" t="str">
            <v>1,8</v>
          </cell>
          <cell r="P52">
            <v>0</v>
          </cell>
          <cell r="T52">
            <v>0</v>
          </cell>
        </row>
        <row r="53">
          <cell r="C53" t="str">
            <v>Здания, сооружения</v>
          </cell>
          <cell r="H53">
            <v>0</v>
          </cell>
          <cell r="L53">
            <v>1221556.8862275449</v>
          </cell>
          <cell r="M53" t="str">
            <v>1,8</v>
          </cell>
          <cell r="P53">
            <v>0</v>
          </cell>
          <cell r="T53">
            <v>0</v>
          </cell>
        </row>
        <row r="54">
          <cell r="C54" t="str">
            <v>Здания, сооружения</v>
          </cell>
          <cell r="H54">
            <v>0</v>
          </cell>
          <cell r="L54">
            <v>140119.76047904193</v>
          </cell>
          <cell r="M54" t="str">
            <v>1,9</v>
          </cell>
          <cell r="P54">
            <v>0</v>
          </cell>
          <cell r="T54">
            <v>0</v>
          </cell>
        </row>
        <row r="55">
          <cell r="C55" t="str">
            <v>Здания, сооружения</v>
          </cell>
          <cell r="H55">
            <v>0</v>
          </cell>
          <cell r="L55">
            <v>140119.76047904193</v>
          </cell>
          <cell r="M55" t="str">
            <v>1,9</v>
          </cell>
          <cell r="P55">
            <v>0</v>
          </cell>
          <cell r="T55">
            <v>0</v>
          </cell>
        </row>
        <row r="56">
          <cell r="C56" t="str">
            <v>Здания, сооружения</v>
          </cell>
          <cell r="H56">
            <v>0</v>
          </cell>
          <cell r="L56">
            <v>1916167.6646706588</v>
          </cell>
          <cell r="M56" t="str">
            <v>1,9</v>
          </cell>
          <cell r="P56">
            <v>0</v>
          </cell>
          <cell r="T56">
            <v>0</v>
          </cell>
        </row>
        <row r="57">
          <cell r="C57" t="str">
            <v>Здания, сооружения</v>
          </cell>
          <cell r="H57">
            <v>0</v>
          </cell>
          <cell r="L57">
            <v>543485.02994011971</v>
          </cell>
          <cell r="M57" t="str">
            <v>1,9</v>
          </cell>
          <cell r="P57">
            <v>0</v>
          </cell>
          <cell r="T57">
            <v>0</v>
          </cell>
        </row>
        <row r="58">
          <cell r="C58" t="str">
            <v>Здания, сооружения</v>
          </cell>
          <cell r="H58">
            <v>0</v>
          </cell>
          <cell r="L58">
            <v>598802.39520958089</v>
          </cell>
          <cell r="M58" t="str">
            <v>2,1</v>
          </cell>
          <cell r="P58">
            <v>0</v>
          </cell>
          <cell r="T58">
            <v>0</v>
          </cell>
        </row>
        <row r="59">
          <cell r="C59" t="str">
            <v>Прочие</v>
          </cell>
          <cell r="H59">
            <v>0</v>
          </cell>
          <cell r="L59">
            <v>0</v>
          </cell>
          <cell r="P59">
            <v>0</v>
          </cell>
          <cell r="T59">
            <v>0</v>
          </cell>
        </row>
        <row r="60">
          <cell r="C60" t="str">
            <v>Прочие</v>
          </cell>
          <cell r="H60">
            <v>0</v>
          </cell>
          <cell r="L60">
            <v>359281.43712574849</v>
          </cell>
          <cell r="M60" t="str">
            <v>1,10</v>
          </cell>
          <cell r="P60">
            <v>0</v>
          </cell>
          <cell r="T60">
            <v>0</v>
          </cell>
        </row>
        <row r="61">
          <cell r="C61" t="str">
            <v>Здания, сооружения</v>
          </cell>
          <cell r="H61">
            <v>0</v>
          </cell>
          <cell r="L61">
            <v>209580.83832335329</v>
          </cell>
          <cell r="M61" t="str">
            <v>2,3</v>
          </cell>
          <cell r="P61">
            <v>0</v>
          </cell>
          <cell r="T61">
            <v>0</v>
          </cell>
        </row>
        <row r="62">
          <cell r="C62" t="str">
            <v>Прочие</v>
          </cell>
          <cell r="H62">
            <v>0</v>
          </cell>
          <cell r="L62">
            <v>21916.167664670658</v>
          </cell>
          <cell r="M62" t="str">
            <v>2,3</v>
          </cell>
          <cell r="P62">
            <v>0</v>
          </cell>
          <cell r="T62">
            <v>0</v>
          </cell>
        </row>
        <row r="63">
          <cell r="C63" t="str">
            <v>Прочие</v>
          </cell>
          <cell r="H63">
            <v>0</v>
          </cell>
          <cell r="L63">
            <v>10958.083832335329</v>
          </cell>
          <cell r="M63" t="str">
            <v>2,3</v>
          </cell>
          <cell r="P63">
            <v>0</v>
          </cell>
          <cell r="T63">
            <v>0</v>
          </cell>
        </row>
        <row r="64">
          <cell r="C64" t="str">
            <v>Прочие</v>
          </cell>
          <cell r="H64">
            <v>0</v>
          </cell>
          <cell r="L64">
            <v>419161.67664670659</v>
          </cell>
          <cell r="M64" t="str">
            <v>2,1</v>
          </cell>
          <cell r="P64">
            <v>0</v>
          </cell>
          <cell r="T64">
            <v>0</v>
          </cell>
        </row>
        <row r="65">
          <cell r="H65">
            <v>0</v>
          </cell>
          <cell r="L65">
            <v>0</v>
          </cell>
          <cell r="P65">
            <v>0</v>
          </cell>
          <cell r="T65">
            <v>0</v>
          </cell>
        </row>
        <row r="66">
          <cell r="C66" t="str">
            <v>Здания, сооружения</v>
          </cell>
          <cell r="H66">
            <v>0</v>
          </cell>
          <cell r="L66">
            <v>802091.11277072446</v>
          </cell>
          <cell r="M66" t="str">
            <v>2,3</v>
          </cell>
          <cell r="P66">
            <v>0</v>
          </cell>
          <cell r="T66">
            <v>0</v>
          </cell>
        </row>
        <row r="67">
          <cell r="C67" t="str">
            <v>Здания, сооружения</v>
          </cell>
          <cell r="H67">
            <v>0</v>
          </cell>
          <cell r="L67">
            <v>11013381</v>
          </cell>
          <cell r="M67" t="str">
            <v>2,5</v>
          </cell>
          <cell r="P67">
            <v>0</v>
          </cell>
          <cell r="T67">
            <v>0</v>
          </cell>
        </row>
        <row r="68">
          <cell r="C68" t="str">
            <v>Здания, сооружения</v>
          </cell>
          <cell r="H68">
            <v>0</v>
          </cell>
          <cell r="L68">
            <v>535474.2345033607</v>
          </cell>
          <cell r="M68" t="str">
            <v>2,3</v>
          </cell>
          <cell r="P68">
            <v>0</v>
          </cell>
          <cell r="T68">
            <v>0</v>
          </cell>
        </row>
        <row r="69">
          <cell r="C69" t="str">
            <v>Здания, сооружения</v>
          </cell>
          <cell r="H69">
            <v>0</v>
          </cell>
          <cell r="L69">
            <v>1143611.6504854369</v>
          </cell>
          <cell r="M69" t="str">
            <v>2,3</v>
          </cell>
          <cell r="P69">
            <v>0</v>
          </cell>
          <cell r="T69">
            <v>0</v>
          </cell>
        </row>
        <row r="70">
          <cell r="C70" t="str">
            <v>Здания, сооружения</v>
          </cell>
          <cell r="H70">
            <v>0</v>
          </cell>
          <cell r="L70">
            <v>113144.13741598208</v>
          </cell>
          <cell r="M70" t="str">
            <v>2,3</v>
          </cell>
          <cell r="P70">
            <v>0</v>
          </cell>
          <cell r="T70">
            <v>0</v>
          </cell>
        </row>
        <row r="71">
          <cell r="C71" t="str">
            <v>Здания, сооружения</v>
          </cell>
          <cell r="H71">
            <v>0</v>
          </cell>
          <cell r="L71">
            <v>627333.83121732634</v>
          </cell>
          <cell r="M71" t="str">
            <v>2,3</v>
          </cell>
          <cell r="P71">
            <v>0</v>
          </cell>
          <cell r="T71">
            <v>0</v>
          </cell>
        </row>
        <row r="72">
          <cell r="C72" t="str">
            <v>Здания, сооружения</v>
          </cell>
          <cell r="H72">
            <v>0</v>
          </cell>
          <cell r="L72">
            <v>309185.95967139659</v>
          </cell>
          <cell r="M72" t="str">
            <v>2,3</v>
          </cell>
          <cell r="P72">
            <v>0</v>
          </cell>
          <cell r="T72">
            <v>0</v>
          </cell>
        </row>
        <row r="73">
          <cell r="C73" t="str">
            <v>Здания, сооружения</v>
          </cell>
          <cell r="H73">
            <v>0</v>
          </cell>
          <cell r="L73">
            <v>89619.118745332336</v>
          </cell>
          <cell r="M73" t="str">
            <v>2,3</v>
          </cell>
          <cell r="P73">
            <v>0</v>
          </cell>
          <cell r="T73">
            <v>0</v>
          </cell>
        </row>
        <row r="74">
          <cell r="C74" t="str">
            <v>Прочие</v>
          </cell>
          <cell r="H74">
            <v>0</v>
          </cell>
          <cell r="L74">
            <v>51800</v>
          </cell>
          <cell r="M74" t="str">
            <v>2,3</v>
          </cell>
          <cell r="P74">
            <v>0</v>
          </cell>
          <cell r="T74">
            <v>0</v>
          </cell>
        </row>
        <row r="75">
          <cell r="C75" t="str">
            <v>Здания, сооружения</v>
          </cell>
          <cell r="H75">
            <v>0</v>
          </cell>
          <cell r="L75">
            <v>87378.640776699031</v>
          </cell>
          <cell r="M75" t="str">
            <v>2,3</v>
          </cell>
          <cell r="P75">
            <v>0</v>
          </cell>
          <cell r="T75">
            <v>0</v>
          </cell>
        </row>
        <row r="76">
          <cell r="C76" t="str">
            <v>Производственное оборудование</v>
          </cell>
          <cell r="H76">
            <v>0</v>
          </cell>
          <cell r="L76">
            <v>246900.67214339061</v>
          </cell>
          <cell r="M76" t="str">
            <v>2,3</v>
          </cell>
          <cell r="P76">
            <v>0</v>
          </cell>
          <cell r="T76">
            <v>0</v>
          </cell>
        </row>
        <row r="77">
          <cell r="C77" t="str">
            <v>Прочие</v>
          </cell>
          <cell r="H77">
            <v>0</v>
          </cell>
          <cell r="L77">
            <v>50410.75429424944</v>
          </cell>
          <cell r="M77" t="str">
            <v>2,3</v>
          </cell>
          <cell r="P77">
            <v>0</v>
          </cell>
          <cell r="T77">
            <v>0</v>
          </cell>
        </row>
        <row r="78">
          <cell r="C78" t="str">
            <v xml:space="preserve">Прочее оборудование </v>
          </cell>
          <cell r="H78">
            <v>0</v>
          </cell>
          <cell r="L78">
            <v>47904.191616766468</v>
          </cell>
          <cell r="M78" t="str">
            <v>2,3</v>
          </cell>
          <cell r="P78">
            <v>0</v>
          </cell>
          <cell r="T78">
            <v>0</v>
          </cell>
        </row>
        <row r="79">
          <cell r="C79" t="str">
            <v xml:space="preserve">Прочее оборудование </v>
          </cell>
          <cell r="H79">
            <v>0</v>
          </cell>
          <cell r="L79">
            <v>26946.107784431137</v>
          </cell>
          <cell r="M79" t="str">
            <v>2,3</v>
          </cell>
          <cell r="P79">
            <v>0</v>
          </cell>
          <cell r="T79">
            <v>0</v>
          </cell>
        </row>
        <row r="80">
          <cell r="C80" t="str">
            <v xml:space="preserve">Прочее оборудование </v>
          </cell>
          <cell r="H80">
            <v>0</v>
          </cell>
          <cell r="L80">
            <v>114970.05988023953</v>
          </cell>
          <cell r="M80" t="str">
            <v>2,3</v>
          </cell>
          <cell r="P80">
            <v>0</v>
          </cell>
          <cell r="T80">
            <v>0</v>
          </cell>
        </row>
        <row r="81">
          <cell r="H81">
            <v>0</v>
          </cell>
          <cell r="L81">
            <v>0</v>
          </cell>
          <cell r="P81">
            <v>0</v>
          </cell>
          <cell r="T81">
            <v>0</v>
          </cell>
        </row>
        <row r="82">
          <cell r="H82">
            <v>0</v>
          </cell>
          <cell r="L82">
            <v>0</v>
          </cell>
          <cell r="P82">
            <v>0</v>
          </cell>
          <cell r="T82">
            <v>0</v>
          </cell>
        </row>
        <row r="83">
          <cell r="H83">
            <v>0</v>
          </cell>
          <cell r="L83">
            <v>0</v>
          </cell>
          <cell r="P83">
            <v>0</v>
          </cell>
          <cell r="T83">
            <v>0</v>
          </cell>
        </row>
        <row r="84">
          <cell r="H84">
            <v>0</v>
          </cell>
          <cell r="L84">
            <v>0</v>
          </cell>
          <cell r="P84">
            <v>0</v>
          </cell>
          <cell r="T84">
            <v>0</v>
          </cell>
        </row>
        <row r="85">
          <cell r="H85">
            <v>0</v>
          </cell>
          <cell r="L85">
            <v>0</v>
          </cell>
          <cell r="P85">
            <v>0</v>
          </cell>
          <cell r="T85">
            <v>0</v>
          </cell>
        </row>
        <row r="86">
          <cell r="H86">
            <v>0</v>
          </cell>
          <cell r="L86">
            <v>0</v>
          </cell>
          <cell r="P86">
            <v>0</v>
          </cell>
          <cell r="T86">
            <v>0</v>
          </cell>
        </row>
        <row r="87">
          <cell r="H87">
            <v>0</v>
          </cell>
          <cell r="L87">
            <v>0</v>
          </cell>
          <cell r="P87">
            <v>0</v>
          </cell>
          <cell r="T87">
            <v>0</v>
          </cell>
        </row>
        <row r="88">
          <cell r="H88">
            <v>0</v>
          </cell>
          <cell r="L88">
            <v>0</v>
          </cell>
          <cell r="P88">
            <v>0</v>
          </cell>
          <cell r="T88">
            <v>0</v>
          </cell>
        </row>
        <row r="89">
          <cell r="H89">
            <v>0</v>
          </cell>
          <cell r="L89">
            <v>0</v>
          </cell>
          <cell r="P89">
            <v>0</v>
          </cell>
          <cell r="T89">
            <v>0</v>
          </cell>
        </row>
        <row r="90">
          <cell r="H90">
            <v>0</v>
          </cell>
          <cell r="L90">
            <v>0</v>
          </cell>
          <cell r="P90">
            <v>0</v>
          </cell>
          <cell r="T90">
            <v>0</v>
          </cell>
        </row>
        <row r="91">
          <cell r="H91">
            <v>0</v>
          </cell>
          <cell r="L91">
            <v>0</v>
          </cell>
          <cell r="P91">
            <v>0</v>
          </cell>
          <cell r="T91">
            <v>0</v>
          </cell>
        </row>
        <row r="92">
          <cell r="H92">
            <v>0</v>
          </cell>
          <cell r="L92">
            <v>24243355.064119708</v>
          </cell>
          <cell r="P92">
            <v>7501867.064973861</v>
          </cell>
          <cell r="T92">
            <v>0</v>
          </cell>
        </row>
        <row r="95">
          <cell r="C95" t="str">
            <v>Прочие</v>
          </cell>
          <cell r="H95">
            <v>0</v>
          </cell>
          <cell r="L95">
            <v>713218.8200149365</v>
          </cell>
          <cell r="M95" t="str">
            <v>1,12</v>
          </cell>
          <cell r="P95">
            <v>0</v>
          </cell>
          <cell r="T95">
            <v>0</v>
          </cell>
        </row>
        <row r="96">
          <cell r="C96" t="str">
            <v>Прочие</v>
          </cell>
          <cell r="H96">
            <v>0</v>
          </cell>
          <cell r="L96">
            <v>215085.884988798</v>
          </cell>
          <cell r="M96" t="str">
            <v>2,1</v>
          </cell>
          <cell r="P96">
            <v>0</v>
          </cell>
          <cell r="T96">
            <v>0</v>
          </cell>
        </row>
        <row r="97">
          <cell r="C97" t="str">
            <v>Прочие</v>
          </cell>
          <cell r="H97">
            <v>0</v>
          </cell>
          <cell r="L97">
            <v>62733.383121732601</v>
          </cell>
          <cell r="M97" t="str">
            <v>1,8</v>
          </cell>
          <cell r="P97">
            <v>0</v>
          </cell>
          <cell r="T97">
            <v>0</v>
          </cell>
        </row>
        <row r="98">
          <cell r="C98" t="str">
            <v>Прочие</v>
          </cell>
          <cell r="H98">
            <v>0</v>
          </cell>
          <cell r="L98">
            <v>30246.452576549698</v>
          </cell>
          <cell r="M98" t="str">
            <v>1,8</v>
          </cell>
          <cell r="P98">
            <v>0</v>
          </cell>
          <cell r="T98">
            <v>0</v>
          </cell>
        </row>
        <row r="99">
          <cell r="C99" t="str">
            <v>Прочие</v>
          </cell>
          <cell r="H99">
            <v>0</v>
          </cell>
          <cell r="L99">
            <v>504107.54294249439</v>
          </cell>
          <cell r="M99" t="str">
            <v>1,9</v>
          </cell>
          <cell r="P99">
            <v>0</v>
          </cell>
          <cell r="T99">
            <v>0</v>
          </cell>
        </row>
        <row r="100">
          <cell r="C100" t="str">
            <v>Прочие</v>
          </cell>
          <cell r="H100">
            <v>138909.63405526499</v>
          </cell>
          <cell r="I100" t="str">
            <v>1,8</v>
          </cell>
          <cell r="L100">
            <v>0</v>
          </cell>
          <cell r="P100">
            <v>0</v>
          </cell>
          <cell r="T100">
            <v>0</v>
          </cell>
        </row>
        <row r="101">
          <cell r="C101" t="str">
            <v>Прочие</v>
          </cell>
          <cell r="H101">
            <v>38922.155688622799</v>
          </cell>
          <cell r="I101" t="str">
            <v>1,8</v>
          </cell>
          <cell r="L101">
            <v>0</v>
          </cell>
          <cell r="P101">
            <v>0</v>
          </cell>
          <cell r="T101">
            <v>0</v>
          </cell>
        </row>
        <row r="102">
          <cell r="C102" t="str">
            <v>Прочие</v>
          </cell>
          <cell r="H102">
            <v>0</v>
          </cell>
          <cell r="L102">
            <v>151988.55507868383</v>
          </cell>
          <cell r="M102" t="str">
            <v>1,12</v>
          </cell>
          <cell r="P102">
            <v>0</v>
          </cell>
          <cell r="T102">
            <v>0</v>
          </cell>
        </row>
        <row r="103">
          <cell r="C103" t="str">
            <v>Прочие</v>
          </cell>
          <cell r="H103">
            <v>0</v>
          </cell>
          <cell r="L103">
            <v>518000</v>
          </cell>
          <cell r="M103" t="str">
            <v>2,1</v>
          </cell>
          <cell r="P103">
            <v>0</v>
          </cell>
          <cell r="T103">
            <v>0</v>
          </cell>
        </row>
        <row r="104">
          <cell r="H104">
            <v>0</v>
          </cell>
          <cell r="L104">
            <v>0</v>
          </cell>
          <cell r="P104">
            <v>0</v>
          </cell>
          <cell r="T104">
            <v>0</v>
          </cell>
        </row>
        <row r="105">
          <cell r="H105">
            <v>0</v>
          </cell>
          <cell r="L105">
            <v>0</v>
          </cell>
          <cell r="P105">
            <v>0</v>
          </cell>
          <cell r="T105">
            <v>0</v>
          </cell>
        </row>
        <row r="106">
          <cell r="H106">
            <v>177831.78974388778</v>
          </cell>
          <cell r="L106">
            <v>2195380.6387231951</v>
          </cell>
          <cell r="P106">
            <v>0</v>
          </cell>
          <cell r="T106">
            <v>0</v>
          </cell>
        </row>
        <row r="108">
          <cell r="H108">
            <v>1758690.4239933277</v>
          </cell>
          <cell r="L108">
            <v>26828350.045520891</v>
          </cell>
          <cell r="P108">
            <v>52943612.722558975</v>
          </cell>
          <cell r="T108">
            <v>0</v>
          </cell>
        </row>
        <row r="112">
          <cell r="H112">
            <v>0</v>
          </cell>
          <cell r="L112">
            <v>0</v>
          </cell>
          <cell r="P112">
            <v>0</v>
          </cell>
          <cell r="T112">
            <v>0</v>
          </cell>
        </row>
        <row r="113">
          <cell r="H113">
            <v>0</v>
          </cell>
          <cell r="L113">
            <v>0</v>
          </cell>
          <cell r="P113">
            <v>0</v>
          </cell>
          <cell r="T113">
            <v>0</v>
          </cell>
        </row>
        <row r="114">
          <cell r="H114">
            <v>0</v>
          </cell>
          <cell r="L114">
            <v>0</v>
          </cell>
          <cell r="P114">
            <v>0</v>
          </cell>
          <cell r="T114">
            <v>0</v>
          </cell>
        </row>
        <row r="115">
          <cell r="H115">
            <v>0</v>
          </cell>
          <cell r="L115">
            <v>0</v>
          </cell>
          <cell r="P115">
            <v>0</v>
          </cell>
          <cell r="T115">
            <v>0</v>
          </cell>
        </row>
        <row r="116">
          <cell r="H116">
            <v>0</v>
          </cell>
          <cell r="L116">
            <v>0</v>
          </cell>
          <cell r="P116">
            <v>0</v>
          </cell>
          <cell r="T116">
            <v>0</v>
          </cell>
        </row>
        <row r="117">
          <cell r="H117">
            <v>0</v>
          </cell>
          <cell r="L117">
            <v>0</v>
          </cell>
          <cell r="P117">
            <v>0</v>
          </cell>
          <cell r="T117">
            <v>0</v>
          </cell>
        </row>
        <row r="118">
          <cell r="H118">
            <v>0</v>
          </cell>
          <cell r="L118">
            <v>0</v>
          </cell>
          <cell r="P118">
            <v>0</v>
          </cell>
          <cell r="T118">
            <v>0</v>
          </cell>
        </row>
        <row r="119">
          <cell r="H119">
            <v>0</v>
          </cell>
          <cell r="L119">
            <v>0</v>
          </cell>
          <cell r="P119">
            <v>0</v>
          </cell>
          <cell r="T119">
            <v>0</v>
          </cell>
        </row>
        <row r="120">
          <cell r="H120">
            <v>0</v>
          </cell>
          <cell r="L120">
            <v>0</v>
          </cell>
          <cell r="P120">
            <v>0</v>
          </cell>
          <cell r="T120">
            <v>0</v>
          </cell>
        </row>
        <row r="121">
          <cell r="H121">
            <v>0</v>
          </cell>
          <cell r="L121">
            <v>0</v>
          </cell>
          <cell r="P121">
            <v>0</v>
          </cell>
          <cell r="T121">
            <v>0</v>
          </cell>
        </row>
        <row r="122">
          <cell r="H122">
            <v>0</v>
          </cell>
          <cell r="L122">
            <v>0</v>
          </cell>
          <cell r="P122">
            <v>0</v>
          </cell>
          <cell r="T122">
            <v>0</v>
          </cell>
        </row>
        <row r="123">
          <cell r="H123">
            <v>0</v>
          </cell>
          <cell r="L123">
            <v>0</v>
          </cell>
          <cell r="P123">
            <v>0</v>
          </cell>
          <cell r="T123">
            <v>0</v>
          </cell>
        </row>
        <row r="124">
          <cell r="H124">
            <v>0</v>
          </cell>
          <cell r="L124">
            <v>0</v>
          </cell>
          <cell r="P124">
            <v>0</v>
          </cell>
          <cell r="T124">
            <v>0</v>
          </cell>
        </row>
        <row r="125">
          <cell r="H125">
            <v>0</v>
          </cell>
          <cell r="L125">
            <v>0</v>
          </cell>
          <cell r="P125">
            <v>0</v>
          </cell>
          <cell r="T125">
            <v>0</v>
          </cell>
        </row>
        <row r="126">
          <cell r="H126">
            <v>0</v>
          </cell>
          <cell r="L126">
            <v>0</v>
          </cell>
          <cell r="P126">
            <v>0</v>
          </cell>
          <cell r="T126">
            <v>0</v>
          </cell>
        </row>
        <row r="127">
          <cell r="H127">
            <v>0</v>
          </cell>
          <cell r="L127">
            <v>0</v>
          </cell>
          <cell r="P127">
            <v>0</v>
          </cell>
          <cell r="T127">
            <v>0</v>
          </cell>
        </row>
        <row r="128">
          <cell r="H128">
            <v>0</v>
          </cell>
          <cell r="L128">
            <v>0</v>
          </cell>
          <cell r="P128">
            <v>0</v>
          </cell>
          <cell r="T128">
            <v>0</v>
          </cell>
        </row>
        <row r="129">
          <cell r="H129">
            <v>0</v>
          </cell>
          <cell r="L129">
            <v>0</v>
          </cell>
          <cell r="P129">
            <v>0</v>
          </cell>
          <cell r="T129">
            <v>0</v>
          </cell>
        </row>
        <row r="130">
          <cell r="H130">
            <v>0</v>
          </cell>
          <cell r="L130">
            <v>0</v>
          </cell>
          <cell r="P130">
            <v>0</v>
          </cell>
          <cell r="T130">
            <v>0</v>
          </cell>
        </row>
        <row r="131">
          <cell r="H131">
            <v>0</v>
          </cell>
          <cell r="L131">
            <v>0</v>
          </cell>
          <cell r="P131">
            <v>0</v>
          </cell>
          <cell r="T131">
            <v>0</v>
          </cell>
        </row>
        <row r="132">
          <cell r="H132">
            <v>0</v>
          </cell>
          <cell r="L132">
            <v>0</v>
          </cell>
          <cell r="P132">
            <v>0</v>
          </cell>
          <cell r="T132">
            <v>0</v>
          </cell>
        </row>
        <row r="133">
          <cell r="H133">
            <v>0</v>
          </cell>
          <cell r="L133">
            <v>0</v>
          </cell>
          <cell r="P133">
            <v>0</v>
          </cell>
          <cell r="T133">
            <v>0</v>
          </cell>
        </row>
        <row r="134">
          <cell r="H134">
            <v>0</v>
          </cell>
          <cell r="L134">
            <v>0</v>
          </cell>
          <cell r="P134">
            <v>0</v>
          </cell>
          <cell r="T134">
            <v>0</v>
          </cell>
        </row>
        <row r="137">
          <cell r="H137">
            <v>0</v>
          </cell>
          <cell r="L137">
            <v>0</v>
          </cell>
          <cell r="P137">
            <v>0</v>
          </cell>
          <cell r="T137">
            <v>0</v>
          </cell>
        </row>
        <row r="138">
          <cell r="H138">
            <v>0</v>
          </cell>
          <cell r="L138">
            <v>0</v>
          </cell>
          <cell r="P138">
            <v>0</v>
          </cell>
          <cell r="T138">
            <v>0</v>
          </cell>
        </row>
        <row r="139">
          <cell r="H139">
            <v>0</v>
          </cell>
          <cell r="L139">
            <v>0</v>
          </cell>
          <cell r="P139">
            <v>0</v>
          </cell>
          <cell r="T139">
            <v>0</v>
          </cell>
        </row>
        <row r="140">
          <cell r="H140">
            <v>0</v>
          </cell>
          <cell r="L140">
            <v>0</v>
          </cell>
          <cell r="P140">
            <v>0</v>
          </cell>
          <cell r="T140">
            <v>0</v>
          </cell>
        </row>
        <row r="141">
          <cell r="H141">
            <v>0</v>
          </cell>
          <cell r="L141">
            <v>0</v>
          </cell>
          <cell r="P141">
            <v>0</v>
          </cell>
          <cell r="T141">
            <v>0</v>
          </cell>
        </row>
        <row r="142">
          <cell r="H142">
            <v>0</v>
          </cell>
          <cell r="L142">
            <v>0</v>
          </cell>
          <cell r="P142">
            <v>0</v>
          </cell>
          <cell r="T142">
            <v>0</v>
          </cell>
        </row>
        <row r="143">
          <cell r="H143">
            <v>0</v>
          </cell>
          <cell r="L143">
            <v>0</v>
          </cell>
          <cell r="P143">
            <v>0</v>
          </cell>
          <cell r="T143">
            <v>0</v>
          </cell>
        </row>
        <row r="144">
          <cell r="H144">
            <v>0</v>
          </cell>
          <cell r="L144">
            <v>0</v>
          </cell>
          <cell r="P144">
            <v>0</v>
          </cell>
          <cell r="T144">
            <v>0</v>
          </cell>
        </row>
        <row r="145">
          <cell r="H145">
            <v>0</v>
          </cell>
          <cell r="L145">
            <v>0</v>
          </cell>
          <cell r="P145">
            <v>0</v>
          </cell>
          <cell r="T145">
            <v>0</v>
          </cell>
        </row>
        <row r="146">
          <cell r="H146">
            <v>0</v>
          </cell>
          <cell r="L146">
            <v>0</v>
          </cell>
          <cell r="P146">
            <v>0</v>
          </cell>
          <cell r="T146">
            <v>0</v>
          </cell>
        </row>
        <row r="147">
          <cell r="H147">
            <v>0</v>
          </cell>
          <cell r="L147">
            <v>0</v>
          </cell>
          <cell r="P147">
            <v>0</v>
          </cell>
          <cell r="T147">
            <v>0</v>
          </cell>
        </row>
        <row r="148">
          <cell r="H148">
            <v>0</v>
          </cell>
          <cell r="L148">
            <v>0</v>
          </cell>
          <cell r="P148">
            <v>0</v>
          </cell>
          <cell r="T148">
            <v>0</v>
          </cell>
        </row>
        <row r="149">
          <cell r="H149">
            <v>0</v>
          </cell>
          <cell r="L149">
            <v>0</v>
          </cell>
          <cell r="P149">
            <v>0</v>
          </cell>
          <cell r="T149">
            <v>0</v>
          </cell>
        </row>
        <row r="150">
          <cell r="H150">
            <v>0</v>
          </cell>
          <cell r="L150">
            <v>0</v>
          </cell>
          <cell r="P150">
            <v>0</v>
          </cell>
          <cell r="T150">
            <v>0</v>
          </cell>
        </row>
        <row r="151">
          <cell r="H151">
            <v>0</v>
          </cell>
          <cell r="L151">
            <v>0</v>
          </cell>
          <cell r="P151">
            <v>0</v>
          </cell>
          <cell r="T151">
            <v>0</v>
          </cell>
        </row>
        <row r="154">
          <cell r="H154">
            <v>0</v>
          </cell>
          <cell r="L154">
            <v>0</v>
          </cell>
          <cell r="P154">
            <v>0</v>
          </cell>
          <cell r="T154">
            <v>0</v>
          </cell>
        </row>
        <row r="155">
          <cell r="H155">
            <v>0</v>
          </cell>
          <cell r="L155">
            <v>0</v>
          </cell>
          <cell r="P155">
            <v>0</v>
          </cell>
          <cell r="T155">
            <v>0</v>
          </cell>
        </row>
        <row r="156">
          <cell r="H156">
            <v>0</v>
          </cell>
          <cell r="L156">
            <v>0</v>
          </cell>
          <cell r="P156">
            <v>0</v>
          </cell>
          <cell r="T156">
            <v>0</v>
          </cell>
        </row>
        <row r="157">
          <cell r="H157">
            <v>0</v>
          </cell>
          <cell r="L157">
            <v>0</v>
          </cell>
          <cell r="P157">
            <v>0</v>
          </cell>
          <cell r="T157">
            <v>0</v>
          </cell>
        </row>
        <row r="158">
          <cell r="H158">
            <v>0</v>
          </cell>
          <cell r="L158">
            <v>0</v>
          </cell>
          <cell r="P158">
            <v>0</v>
          </cell>
          <cell r="T158">
            <v>0</v>
          </cell>
        </row>
        <row r="159">
          <cell r="H159">
            <v>0</v>
          </cell>
          <cell r="L159">
            <v>0</v>
          </cell>
          <cell r="P159">
            <v>0</v>
          </cell>
          <cell r="T159">
            <v>0</v>
          </cell>
        </row>
        <row r="160">
          <cell r="H160">
            <v>0</v>
          </cell>
          <cell r="L160">
            <v>0</v>
          </cell>
          <cell r="P160">
            <v>0</v>
          </cell>
          <cell r="T160">
            <v>0</v>
          </cell>
        </row>
        <row r="161">
          <cell r="H161">
            <v>0</v>
          </cell>
          <cell r="L161">
            <v>0</v>
          </cell>
          <cell r="P161">
            <v>0</v>
          </cell>
          <cell r="T161">
            <v>0</v>
          </cell>
        </row>
        <row r="162">
          <cell r="H162">
            <v>0</v>
          </cell>
          <cell r="L162">
            <v>0</v>
          </cell>
          <cell r="P162">
            <v>0</v>
          </cell>
          <cell r="T162">
            <v>0</v>
          </cell>
        </row>
        <row r="163">
          <cell r="H163">
            <v>0</v>
          </cell>
          <cell r="L163">
            <v>0</v>
          </cell>
          <cell r="P163">
            <v>0</v>
          </cell>
          <cell r="T163">
            <v>0</v>
          </cell>
        </row>
        <row r="164">
          <cell r="H164">
            <v>0</v>
          </cell>
          <cell r="L164">
            <v>0</v>
          </cell>
          <cell r="P164">
            <v>0</v>
          </cell>
          <cell r="T164">
            <v>0</v>
          </cell>
        </row>
        <row r="165">
          <cell r="H165">
            <v>0</v>
          </cell>
          <cell r="L165">
            <v>0</v>
          </cell>
          <cell r="P165">
            <v>0</v>
          </cell>
          <cell r="T165">
            <v>0</v>
          </cell>
        </row>
        <row r="167">
          <cell r="H167">
            <v>0</v>
          </cell>
          <cell r="L167">
            <v>0</v>
          </cell>
          <cell r="P167">
            <v>0</v>
          </cell>
          <cell r="T167">
            <v>0</v>
          </cell>
        </row>
        <row r="171">
          <cell r="H171">
            <v>0</v>
          </cell>
          <cell r="L171">
            <v>0</v>
          </cell>
          <cell r="P171">
            <v>0</v>
          </cell>
          <cell r="T171">
            <v>0</v>
          </cell>
        </row>
        <row r="172">
          <cell r="H172">
            <v>0</v>
          </cell>
          <cell r="L172">
            <v>0</v>
          </cell>
          <cell r="P172">
            <v>0</v>
          </cell>
          <cell r="T172">
            <v>0</v>
          </cell>
        </row>
        <row r="173">
          <cell r="H173">
            <v>0</v>
          </cell>
          <cell r="L173">
            <v>0</v>
          </cell>
          <cell r="P173">
            <v>0</v>
          </cell>
          <cell r="T173">
            <v>0</v>
          </cell>
        </row>
        <row r="174">
          <cell r="H174">
            <v>0</v>
          </cell>
          <cell r="L174">
            <v>0</v>
          </cell>
          <cell r="P174">
            <v>0</v>
          </cell>
          <cell r="T174">
            <v>0</v>
          </cell>
        </row>
        <row r="175">
          <cell r="H175">
            <v>0</v>
          </cell>
          <cell r="L175">
            <v>0</v>
          </cell>
          <cell r="P175">
            <v>0</v>
          </cell>
          <cell r="T175">
            <v>0</v>
          </cell>
        </row>
        <row r="176">
          <cell r="H176">
            <v>0</v>
          </cell>
          <cell r="L176">
            <v>0</v>
          </cell>
          <cell r="P176">
            <v>0</v>
          </cell>
          <cell r="T176">
            <v>0</v>
          </cell>
        </row>
        <row r="177">
          <cell r="H177">
            <v>0</v>
          </cell>
          <cell r="L177">
            <v>0</v>
          </cell>
          <cell r="P177">
            <v>0</v>
          </cell>
          <cell r="T177">
            <v>0</v>
          </cell>
        </row>
        <row r="178">
          <cell r="H178">
            <v>0</v>
          </cell>
          <cell r="L178">
            <v>0</v>
          </cell>
          <cell r="P178">
            <v>0</v>
          </cell>
          <cell r="T178">
            <v>0</v>
          </cell>
        </row>
        <row r="179">
          <cell r="H179">
            <v>0</v>
          </cell>
          <cell r="L179">
            <v>0</v>
          </cell>
          <cell r="P179">
            <v>0</v>
          </cell>
          <cell r="T179">
            <v>0</v>
          </cell>
        </row>
        <row r="180">
          <cell r="H180">
            <v>0</v>
          </cell>
          <cell r="L180">
            <v>0</v>
          </cell>
          <cell r="P180">
            <v>0</v>
          </cell>
          <cell r="T180">
            <v>0</v>
          </cell>
        </row>
        <row r="181">
          <cell r="H181">
            <v>0</v>
          </cell>
          <cell r="L181">
            <v>0</v>
          </cell>
          <cell r="P181">
            <v>0</v>
          </cell>
          <cell r="T181">
            <v>0</v>
          </cell>
        </row>
        <row r="182">
          <cell r="H182">
            <v>0</v>
          </cell>
          <cell r="L182">
            <v>0</v>
          </cell>
          <cell r="P182">
            <v>0</v>
          </cell>
          <cell r="T182">
            <v>0</v>
          </cell>
        </row>
        <row r="183">
          <cell r="H183">
            <v>0</v>
          </cell>
          <cell r="L183">
            <v>0</v>
          </cell>
          <cell r="P183">
            <v>0</v>
          </cell>
          <cell r="T183">
            <v>0</v>
          </cell>
        </row>
        <row r="184">
          <cell r="H184">
            <v>0</v>
          </cell>
          <cell r="L184">
            <v>0</v>
          </cell>
          <cell r="P184">
            <v>0</v>
          </cell>
          <cell r="T184">
            <v>0</v>
          </cell>
        </row>
        <row r="185">
          <cell r="H185">
            <v>0</v>
          </cell>
          <cell r="L185">
            <v>0</v>
          </cell>
          <cell r="P185">
            <v>0</v>
          </cell>
          <cell r="T185">
            <v>0</v>
          </cell>
        </row>
        <row r="186">
          <cell r="H186">
            <v>0</v>
          </cell>
          <cell r="L186">
            <v>0</v>
          </cell>
          <cell r="P186">
            <v>0</v>
          </cell>
          <cell r="T186">
            <v>0</v>
          </cell>
        </row>
        <row r="187">
          <cell r="H187">
            <v>0</v>
          </cell>
          <cell r="L187">
            <v>0</v>
          </cell>
          <cell r="P187">
            <v>0</v>
          </cell>
          <cell r="T187">
            <v>0</v>
          </cell>
        </row>
        <row r="188">
          <cell r="H188">
            <v>0</v>
          </cell>
          <cell r="L188">
            <v>0</v>
          </cell>
          <cell r="P188">
            <v>0</v>
          </cell>
          <cell r="T188">
            <v>0</v>
          </cell>
        </row>
        <row r="189">
          <cell r="H189">
            <v>0</v>
          </cell>
          <cell r="L189">
            <v>0</v>
          </cell>
          <cell r="P189">
            <v>0</v>
          </cell>
          <cell r="T189">
            <v>0</v>
          </cell>
        </row>
        <row r="190">
          <cell r="H190">
            <v>0</v>
          </cell>
          <cell r="L190">
            <v>0</v>
          </cell>
          <cell r="P190">
            <v>0</v>
          </cell>
          <cell r="T190">
            <v>0</v>
          </cell>
        </row>
        <row r="191">
          <cell r="H191">
            <v>0</v>
          </cell>
          <cell r="L191">
            <v>0</v>
          </cell>
          <cell r="P191">
            <v>0</v>
          </cell>
          <cell r="T191">
            <v>0</v>
          </cell>
        </row>
        <row r="192">
          <cell r="H192">
            <v>0</v>
          </cell>
          <cell r="L192">
            <v>0</v>
          </cell>
          <cell r="P192">
            <v>0</v>
          </cell>
          <cell r="T192">
            <v>0</v>
          </cell>
        </row>
        <row r="193">
          <cell r="H193">
            <v>0</v>
          </cell>
          <cell r="L193">
            <v>0</v>
          </cell>
          <cell r="P193">
            <v>0</v>
          </cell>
          <cell r="T193">
            <v>0</v>
          </cell>
        </row>
        <row r="196">
          <cell r="H196">
            <v>0</v>
          </cell>
          <cell r="L196">
            <v>0</v>
          </cell>
          <cell r="P196">
            <v>0</v>
          </cell>
          <cell r="T196">
            <v>0</v>
          </cell>
        </row>
        <row r="197">
          <cell r="H197">
            <v>0</v>
          </cell>
          <cell r="L197">
            <v>0</v>
          </cell>
          <cell r="P197">
            <v>0</v>
          </cell>
          <cell r="T197">
            <v>0</v>
          </cell>
        </row>
        <row r="198">
          <cell r="H198">
            <v>0</v>
          </cell>
          <cell r="L198">
            <v>0</v>
          </cell>
          <cell r="P198">
            <v>0</v>
          </cell>
          <cell r="T198">
            <v>0</v>
          </cell>
        </row>
        <row r="199">
          <cell r="H199">
            <v>0</v>
          </cell>
          <cell r="L199">
            <v>0</v>
          </cell>
          <cell r="P199">
            <v>0</v>
          </cell>
          <cell r="T199">
            <v>0</v>
          </cell>
        </row>
        <row r="200">
          <cell r="H200">
            <v>0</v>
          </cell>
          <cell r="L200">
            <v>0</v>
          </cell>
          <cell r="P200">
            <v>0</v>
          </cell>
          <cell r="T200">
            <v>0</v>
          </cell>
        </row>
        <row r="201">
          <cell r="H201">
            <v>0</v>
          </cell>
          <cell r="L201">
            <v>0</v>
          </cell>
          <cell r="P201">
            <v>0</v>
          </cell>
          <cell r="T201">
            <v>0</v>
          </cell>
        </row>
        <row r="202">
          <cell r="H202">
            <v>0</v>
          </cell>
          <cell r="L202">
            <v>0</v>
          </cell>
          <cell r="P202">
            <v>0</v>
          </cell>
          <cell r="T202">
            <v>0</v>
          </cell>
        </row>
        <row r="203">
          <cell r="H203">
            <v>0</v>
          </cell>
          <cell r="L203">
            <v>0</v>
          </cell>
          <cell r="P203">
            <v>0</v>
          </cell>
          <cell r="T203">
            <v>0</v>
          </cell>
        </row>
        <row r="204">
          <cell r="H204">
            <v>0</v>
          </cell>
          <cell r="L204">
            <v>0</v>
          </cell>
          <cell r="P204">
            <v>0</v>
          </cell>
          <cell r="T204">
            <v>0</v>
          </cell>
        </row>
        <row r="205">
          <cell r="H205">
            <v>0</v>
          </cell>
          <cell r="L205">
            <v>0</v>
          </cell>
          <cell r="P205">
            <v>0</v>
          </cell>
          <cell r="T205">
            <v>0</v>
          </cell>
        </row>
        <row r="206">
          <cell r="H206">
            <v>0</v>
          </cell>
          <cell r="L206">
            <v>0</v>
          </cell>
          <cell r="P206">
            <v>0</v>
          </cell>
          <cell r="T206">
            <v>0</v>
          </cell>
        </row>
        <row r="207">
          <cell r="H207">
            <v>0</v>
          </cell>
          <cell r="L207">
            <v>0</v>
          </cell>
          <cell r="P207">
            <v>0</v>
          </cell>
          <cell r="T207">
            <v>0</v>
          </cell>
        </row>
        <row r="208">
          <cell r="H208">
            <v>0</v>
          </cell>
          <cell r="L208">
            <v>0</v>
          </cell>
          <cell r="P208">
            <v>0</v>
          </cell>
          <cell r="T208">
            <v>0</v>
          </cell>
        </row>
        <row r="209">
          <cell r="H209">
            <v>0</v>
          </cell>
          <cell r="L209">
            <v>0</v>
          </cell>
          <cell r="P209">
            <v>0</v>
          </cell>
          <cell r="T209">
            <v>0</v>
          </cell>
        </row>
        <row r="210">
          <cell r="H210">
            <v>0</v>
          </cell>
          <cell r="L210">
            <v>0</v>
          </cell>
          <cell r="P210">
            <v>0</v>
          </cell>
          <cell r="T210">
            <v>0</v>
          </cell>
        </row>
        <row r="213">
          <cell r="H213">
            <v>0</v>
          </cell>
          <cell r="L213">
            <v>0</v>
          </cell>
          <cell r="P213">
            <v>0</v>
          </cell>
          <cell r="T213">
            <v>0</v>
          </cell>
        </row>
        <row r="214">
          <cell r="H214">
            <v>0</v>
          </cell>
          <cell r="L214">
            <v>0</v>
          </cell>
          <cell r="P214">
            <v>0</v>
          </cell>
          <cell r="T214">
            <v>0</v>
          </cell>
        </row>
        <row r="215">
          <cell r="H215">
            <v>0</v>
          </cell>
          <cell r="L215">
            <v>0</v>
          </cell>
          <cell r="P215">
            <v>0</v>
          </cell>
          <cell r="T215">
            <v>0</v>
          </cell>
        </row>
        <row r="216">
          <cell r="H216">
            <v>0</v>
          </cell>
          <cell r="L216">
            <v>0</v>
          </cell>
          <cell r="P216">
            <v>0</v>
          </cell>
          <cell r="T216">
            <v>0</v>
          </cell>
        </row>
        <row r="217">
          <cell r="H217">
            <v>0</v>
          </cell>
          <cell r="L217">
            <v>0</v>
          </cell>
          <cell r="P217">
            <v>0</v>
          </cell>
          <cell r="T217">
            <v>0</v>
          </cell>
        </row>
        <row r="218">
          <cell r="H218">
            <v>0</v>
          </cell>
          <cell r="L218">
            <v>0</v>
          </cell>
          <cell r="P218">
            <v>0</v>
          </cell>
          <cell r="T218">
            <v>0</v>
          </cell>
        </row>
        <row r="219">
          <cell r="H219">
            <v>0</v>
          </cell>
          <cell r="L219">
            <v>0</v>
          </cell>
          <cell r="P219">
            <v>0</v>
          </cell>
          <cell r="T219">
            <v>0</v>
          </cell>
        </row>
        <row r="220">
          <cell r="H220">
            <v>0</v>
          </cell>
          <cell r="L220">
            <v>0</v>
          </cell>
          <cell r="P220">
            <v>0</v>
          </cell>
          <cell r="T220">
            <v>0</v>
          </cell>
        </row>
        <row r="221">
          <cell r="H221">
            <v>0</v>
          </cell>
          <cell r="L221">
            <v>0</v>
          </cell>
          <cell r="P221">
            <v>0</v>
          </cell>
          <cell r="T221">
            <v>0</v>
          </cell>
        </row>
        <row r="222">
          <cell r="H222">
            <v>0</v>
          </cell>
          <cell r="L222">
            <v>0</v>
          </cell>
          <cell r="P222">
            <v>0</v>
          </cell>
          <cell r="T222">
            <v>0</v>
          </cell>
        </row>
        <row r="223">
          <cell r="H223">
            <v>0</v>
          </cell>
          <cell r="L223">
            <v>0</v>
          </cell>
          <cell r="P223">
            <v>0</v>
          </cell>
          <cell r="T223">
            <v>0</v>
          </cell>
        </row>
        <row r="224">
          <cell r="H224">
            <v>0</v>
          </cell>
          <cell r="L224">
            <v>0</v>
          </cell>
          <cell r="P224">
            <v>0</v>
          </cell>
          <cell r="T224">
            <v>0</v>
          </cell>
        </row>
        <row r="225">
          <cell r="H225">
            <v>0</v>
          </cell>
          <cell r="L225">
            <v>0</v>
          </cell>
          <cell r="P225">
            <v>0</v>
          </cell>
          <cell r="T225">
            <v>0</v>
          </cell>
        </row>
        <row r="226">
          <cell r="H226">
            <v>0</v>
          </cell>
          <cell r="L226">
            <v>0</v>
          </cell>
          <cell r="P226">
            <v>0</v>
          </cell>
          <cell r="T226">
            <v>0</v>
          </cell>
        </row>
        <row r="227">
          <cell r="H227">
            <v>0</v>
          </cell>
          <cell r="L227">
            <v>0</v>
          </cell>
          <cell r="P227">
            <v>0</v>
          </cell>
          <cell r="T227">
            <v>0</v>
          </cell>
        </row>
        <row r="228">
          <cell r="H228">
            <v>0</v>
          </cell>
          <cell r="L228">
            <v>0</v>
          </cell>
          <cell r="P228">
            <v>0</v>
          </cell>
          <cell r="T228">
            <v>0</v>
          </cell>
        </row>
        <row r="229">
          <cell r="H229">
            <v>0</v>
          </cell>
          <cell r="L229">
            <v>0</v>
          </cell>
          <cell r="P229">
            <v>0</v>
          </cell>
          <cell r="T229">
            <v>0</v>
          </cell>
        </row>
        <row r="230">
          <cell r="H230">
            <v>0</v>
          </cell>
          <cell r="L230">
            <v>0</v>
          </cell>
          <cell r="P230">
            <v>0</v>
          </cell>
          <cell r="T230">
            <v>0</v>
          </cell>
        </row>
        <row r="231">
          <cell r="H231">
            <v>0</v>
          </cell>
          <cell r="L231">
            <v>0</v>
          </cell>
          <cell r="P231">
            <v>0</v>
          </cell>
          <cell r="T231">
            <v>0</v>
          </cell>
        </row>
        <row r="232">
          <cell r="H232">
            <v>0</v>
          </cell>
          <cell r="L232">
            <v>0</v>
          </cell>
          <cell r="P232">
            <v>0</v>
          </cell>
          <cell r="T232">
            <v>0</v>
          </cell>
        </row>
        <row r="234">
          <cell r="H234">
            <v>0</v>
          </cell>
          <cell r="L234">
            <v>0</v>
          </cell>
          <cell r="P234">
            <v>0</v>
          </cell>
          <cell r="T234">
            <v>0</v>
          </cell>
        </row>
        <row r="236">
          <cell r="C236" t="str">
            <v>Прочие</v>
          </cell>
          <cell r="L236">
            <v>0</v>
          </cell>
          <cell r="M236" t="str">
            <v>1,8</v>
          </cell>
        </row>
        <row r="237">
          <cell r="C237" t="str">
            <v>Прочие</v>
          </cell>
          <cell r="L237">
            <v>0</v>
          </cell>
          <cell r="M237" t="str">
            <v>1,7</v>
          </cell>
        </row>
        <row r="238">
          <cell r="C238" t="str">
            <v>Прочие</v>
          </cell>
          <cell r="L238">
            <v>0</v>
          </cell>
          <cell r="M238" t="str">
            <v>1,8</v>
          </cell>
        </row>
        <row r="240">
          <cell r="H240">
            <v>3509217.13755649</v>
          </cell>
          <cell r="L240">
            <v>26828350.045520891</v>
          </cell>
          <cell r="P240">
            <v>53230393.902544037</v>
          </cell>
          <cell r="T240">
            <v>0</v>
          </cell>
        </row>
      </sheetData>
      <sheetData sheetId="18" refreshError="1"/>
      <sheetData sheetId="19" refreshError="1">
        <row r="8">
          <cell r="B8" t="str">
            <v>Здания, сооружения</v>
          </cell>
        </row>
        <row r="9">
          <cell r="B9" t="str">
            <v>Производственное оборудование</v>
          </cell>
        </row>
        <row r="10">
          <cell r="B10" t="str">
            <v xml:space="preserve">Прочее оборудование </v>
          </cell>
        </row>
        <row r="11">
          <cell r="B11" t="str">
            <v>Прочие</v>
          </cell>
        </row>
        <row r="12">
          <cell r="B12" t="str">
            <v>Земля</v>
          </cell>
        </row>
      </sheetData>
      <sheetData sheetId="20" refreshError="1"/>
      <sheetData sheetId="21" refreshError="1">
        <row r="125">
          <cell r="F125">
            <v>1252742.881713433</v>
          </cell>
        </row>
      </sheetData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ОтырарПлощадьОПиФА"/>
      <sheetName val="ОтырарПлощадьОПродаж"/>
      <sheetName val="объекты общества"/>
      <sheetName val="ОбъектыОбществаПрочиеХвосты"/>
      <sheetName val="ПрочиеОбъектыХвосты"/>
      <sheetName val="объекты обществаКокшетау"/>
      <sheetName val="БалансСебест"/>
      <sheetName val="РеализацияБухгалтерия"/>
      <sheetName val="Штуки"/>
      <sheetName val="Стоимость"/>
      <sheetName val="Поступления"/>
      <sheetName val="ВозвратДебиторки"/>
      <sheetName val="Итого Потоки"/>
      <sheetName val="Цен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/>
      <sheetData sheetId="8" refreshError="1"/>
      <sheetData sheetId="9" refreshError="1"/>
      <sheetData sheetId="10"/>
      <sheetData sheetId="11"/>
      <sheetData sheetId="12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ОтырарПлощадьОПиФА"/>
      <sheetName val="ОтырарПлощадьОПродаж"/>
      <sheetName val="объекты общества"/>
      <sheetName val="ОбъектыОбществаПрочиеХвосты"/>
      <sheetName val="ПрочиеОбъектыХвосты"/>
      <sheetName val="объекты обществаКокшетау"/>
      <sheetName val="БалансСебест"/>
      <sheetName val="РеализацияБухгалтерия"/>
      <sheetName val="Штуки"/>
      <sheetName val="Стоимость"/>
      <sheetName val="Поступления"/>
      <sheetName val="ВозвратДебиторки"/>
      <sheetName val="Итого Потоки"/>
      <sheetName val="Цен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/>
      <sheetData sheetId="8" refreshError="1"/>
      <sheetData sheetId="9" refreshError="1"/>
      <sheetData sheetId="10"/>
      <sheetData sheetId="11"/>
      <sheetData sheetId="12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IRR"/>
      <sheetName val="Ф3"/>
      <sheetName val="Ф2"/>
      <sheetName val="ПриобрОС"/>
      <sheetName val="Фин. пок-ли"/>
      <sheetName val="Пр-во сбыт"/>
      <sheetName val="Врем.смета"/>
      <sheetName val="Перем. затр"/>
      <sheetName val="Пост.затр"/>
      <sheetName val="Затр. на про-во"/>
      <sheetName val="штат"/>
      <sheetName val="АФ1"/>
      <sheetName val="АФ"/>
      <sheetName val="БВУ"/>
      <sheetName val="Доп"/>
      <sheetName val="Ф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17">
          <cell r="C17">
            <v>0.13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ИсхД+"/>
      <sheetName val="КапЗатр+"/>
      <sheetName val="Вып1+"/>
      <sheetName val="Капит_1"/>
      <sheetName val="Вып2"/>
      <sheetName val="Капит_2"/>
      <sheetName val="Вып3"/>
      <sheetName val="Капит_3"/>
      <sheetName val="Вып4"/>
      <sheetName val="Капит_4"/>
      <sheetName val="СвВып+"/>
      <sheetName val="Аморт"/>
      <sheetName val="ВырРеал+"/>
      <sheetName val="Зерно"/>
      <sheetName val="Зерно_1"/>
      <sheetName val="Себест+"/>
      <sheetName val="ОбКап+"/>
      <sheetName val="Нетто3!!!"/>
      <sheetName val="отчприб1"/>
      <sheetName val="РостАкт+"/>
      <sheetName val="Приб+"/>
      <sheetName val="ПотокНал+"/>
      <sheetName val="потокден1"/>
      <sheetName val="ФинПок+"/>
      <sheetName val="Налоги"/>
      <sheetName val="СтоимПр1+"/>
      <sheetName val="СтоимПр2"/>
      <sheetName val="ЗЛК_осн"/>
      <sheetName val="ЗЛК_%"/>
      <sheetName val="ЗЛК_цена"/>
      <sheetName val="Не_удалять!!!"/>
      <sheetName val="Графики"/>
      <sheetName val="ПрогБал"/>
      <sheetName val="КоэфЧувств-ти"/>
      <sheetName val="РезЧувств"/>
      <sheetName val="Залог"/>
      <sheetName val="РискЗалога"/>
      <sheetName val="РезЗал"/>
      <sheetName val="Чувств1"/>
      <sheetName val="Чувств1-1"/>
      <sheetName val="Чувств1-2"/>
      <sheetName val="Чувств2"/>
      <sheetName val="Чувств2-1"/>
      <sheetName val="Чувств2-2"/>
      <sheetName val="Чувств3"/>
      <sheetName val="Чувтсв3-1"/>
      <sheetName val="Чувств3-2"/>
      <sheetName val="Чувств4"/>
      <sheetName val="Чувств4-1"/>
      <sheetName val="Чувств4-2"/>
      <sheetName val="Чувств5"/>
      <sheetName val="IRR"/>
    </sheetNames>
    <sheetDataSet>
      <sheetData sheetId="0">
        <row r="2">
          <cell r="A2" t="str">
            <v>Проект "Передача с/х техники на лизинговой основе зернопроизводителям Акмолинской, Костанайской и Северо-Казахстанской областей.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>
        <row r="2">
          <cell r="A2" t="str">
            <v xml:space="preserve">Наименование предприятия 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Осн пар Свод"/>
      <sheetName val="3Ф"/>
      <sheetName val="2Ф "/>
      <sheetName val="кр"/>
      <sheetName val="Гр стр"/>
      <sheetName val="Пост"/>
      <sheetName val="оборуд"/>
      <sheetName val="Перем."/>
      <sheetName val="IRR NPV"/>
      <sheetName val="Штат до ввода"/>
      <sheetName val="Штат пос ввода"/>
      <sheetName val="карьеры"/>
      <sheetName val="Налог(имущ)"/>
      <sheetName val="Осн.показ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>
        <row r="5">
          <cell r="D5">
            <v>1052.6315789473686</v>
          </cell>
        </row>
        <row r="8">
          <cell r="D8">
            <v>907200</v>
          </cell>
        </row>
        <row r="9">
          <cell r="D9">
            <v>388800</v>
          </cell>
        </row>
        <row r="13">
          <cell r="D13">
            <v>164</v>
          </cell>
        </row>
        <row r="15">
          <cell r="D15">
            <v>1.1399999999999999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Исх"/>
      <sheetName val="ДДС_без 4,5"/>
      <sheetName val="ф3"/>
      <sheetName val="ф2"/>
      <sheetName val="кр"/>
      <sheetName val="Натур пок-ли"/>
    </sheetNames>
    <sheetDataSet>
      <sheetData sheetId="0">
        <row r="7">
          <cell r="C7">
            <v>0.18</v>
          </cell>
        </row>
        <row r="8">
          <cell r="C8">
            <v>1.18</v>
          </cell>
        </row>
        <row r="16">
          <cell r="C16">
            <v>25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и сбыт"/>
      <sheetName val="Персонал"/>
      <sheetName val="Амортизация"/>
      <sheetName val="Приобретение ОС"/>
      <sheetName val="Временные расходы"/>
      <sheetName val="Пост расходы"/>
      <sheetName val="График"/>
      <sheetName val="Прямые затраты"/>
      <sheetName val="ГСМ Налоги"/>
      <sheetName val="Адмрасходы"/>
      <sheetName val="NPV"/>
      <sheetName val="ОПиУ"/>
      <sheetName val="ОДДС"/>
      <sheetName val="Баланс"/>
      <sheetName val="Эффективность"/>
    </sheetNames>
    <sheetDataSet>
      <sheetData sheetId="0" refreshError="1">
        <row r="18">
          <cell r="C18">
            <v>121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и сбыт"/>
      <sheetName val="Персонал"/>
      <sheetName val="Амортизация"/>
      <sheetName val="Приобретение ОС"/>
      <sheetName val="Временные расходы"/>
      <sheetName val="Пост расходы"/>
      <sheetName val="График"/>
      <sheetName val="Прямые затраты"/>
      <sheetName val="ГСМ Налоги"/>
      <sheetName val="Адмрасходы"/>
      <sheetName val="NPV"/>
      <sheetName val="ОПиУ"/>
      <sheetName val="ОДДС"/>
      <sheetName val="Баланс"/>
      <sheetName val="Эффективность"/>
    </sheetNames>
    <sheetDataSet>
      <sheetData sheetId="0" refreshError="1">
        <row r="18">
          <cell r="C18">
            <v>121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Осн п"/>
      <sheetName val="Исх"/>
      <sheetName val="ФОТ"/>
      <sheetName val="Ф3"/>
      <sheetName val="ф2"/>
      <sheetName val="Пр-во кумыс"/>
      <sheetName val="Пр-во шубат"/>
      <sheetName val="Расх пост"/>
      <sheetName val="кр"/>
      <sheetName val="Инв"/>
      <sheetName val="Безубыт"/>
      <sheetName val="Параметры"/>
      <sheetName val="Производство и сбыт"/>
      <sheetName val="Персонал"/>
      <sheetName val="Амортизация"/>
      <sheetName val="Приобретение ОС"/>
      <sheetName val="Временные расходы"/>
      <sheetName val="Пост расходы"/>
      <sheetName val="График"/>
      <sheetName val="Прямые затраты"/>
      <sheetName val="ГСМ Налоги"/>
      <sheetName val="Адмрасходы"/>
      <sheetName val="NPV"/>
      <sheetName val="ОПиУ"/>
      <sheetName val="ОДДС"/>
      <sheetName val="Баланс"/>
      <sheetName val="Эффективность"/>
      <sheetName val="Лист1"/>
      <sheetName val="Лист2"/>
      <sheetName val="Лист3"/>
      <sheetName val="Осн.показ"/>
      <sheetName val="ОС"/>
      <sheetName val="Аморт"/>
      <sheetName val="Налоги"/>
      <sheetName val="Оборотка"/>
      <sheetName val="Пост"/>
      <sheetName val="Перем."/>
      <sheetName val="Штат до ввода"/>
      <sheetName val="Штат пос ввода"/>
      <sheetName val="Оценка"/>
      <sheetName val="кредит"/>
      <sheetName val="График стр."/>
      <sheetName val="ФХД АФ"/>
      <sheetName val="Cash пр"/>
      <sheetName val="IRR NPV"/>
      <sheetName val="Tornado"/>
    </sheetNames>
    <sheetDataSet>
      <sheetData sheetId="0" refreshError="1"/>
      <sheetData sheetId="1">
        <row r="7">
          <cell r="C7">
            <v>0.12</v>
          </cell>
        </row>
      </sheetData>
      <sheetData sheetId="2"/>
      <sheetData sheetId="3" refreshError="1"/>
      <sheetData sheetId="4"/>
      <sheetData sheetId="5"/>
      <sheetData sheetId="6" refreshError="1"/>
      <sheetData sheetId="7"/>
      <sheetData sheetId="8"/>
      <sheetData sheetId="9" refreshError="1"/>
      <sheetData sheetId="10" refreshError="1"/>
      <sheetData sheetId="11" refreshError="1">
        <row r="2">
          <cell r="C2">
            <v>218700</v>
          </cell>
        </row>
        <row r="18">
          <cell r="C18">
            <v>121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>
        <row r="6">
          <cell r="C6">
            <v>442.47787610619474</v>
          </cell>
        </row>
        <row r="10">
          <cell r="C10">
            <v>75600</v>
          </cell>
        </row>
        <row r="11">
          <cell r="C11">
            <v>32400</v>
          </cell>
        </row>
        <row r="12">
          <cell r="C12">
            <v>367.08209105484542</v>
          </cell>
        </row>
      </sheetData>
      <sheetData sheetId="31" refreshError="1">
        <row r="27">
          <cell r="D27">
            <v>1022552.6843</v>
          </cell>
        </row>
      </sheetData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и сбыт"/>
      <sheetName val="Персонал"/>
      <sheetName val="Амортизация"/>
      <sheetName val="Приобретение ОС"/>
      <sheetName val="Временные расходы"/>
      <sheetName val="Пост расходы"/>
      <sheetName val="График"/>
      <sheetName val="Прямые затраты"/>
      <sheetName val="ГСМ Налоги"/>
      <sheetName val="Адмрасходы"/>
      <sheetName val="NPV"/>
      <sheetName val="ОПиУ"/>
      <sheetName val="ОДДС"/>
      <sheetName val="Баланс"/>
      <sheetName val="Эффективность"/>
    </sheetNames>
    <sheetDataSet>
      <sheetData sheetId="0" refreshError="1">
        <row r="18">
          <cell r="C18">
            <v>121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Главн"/>
      <sheetName val="Пояснения"/>
      <sheetName val="Эффективность"/>
      <sheetName val="Рас.эффект"/>
      <sheetName val="№ 2 Товар.выпуск"/>
      <sheetName val="№ 3 Реализация"/>
      <sheetName val="Доходы"/>
      <sheetName val="Себест реал"/>
      <sheetName val="Cash"/>
      <sheetName val="CF"/>
      <sheetName val="P&amp;L"/>
      <sheetName val="Кредиты"/>
      <sheetName val="Кредиты 2"/>
      <sheetName val="Кредиты 3"/>
      <sheetName val="№ 1 Произв.прогр"/>
      <sheetName val="Произв.мощн"/>
      <sheetName val="График работ"/>
      <sheetName val="Invest"/>
      <sheetName val="Лист1"/>
      <sheetName val="Граф кап инвестиц"/>
      <sheetName val="Граф произв инвестиц"/>
      <sheetName val="Амортиз"/>
      <sheetName val="Спр.мат"/>
      <sheetName val="Материалы"/>
      <sheetName val="№ 4 Материалы полн"/>
      <sheetName val="Материалы по ассорт"/>
      <sheetName val="Упаковка"/>
      <sheetName val="№ 4-1 Мат 0,5 ЗС"/>
      <sheetName val="№ 4-2 Мат 0,7 ЗС"/>
      <sheetName val="№ 4-3 Мат 0,5 обл"/>
      <sheetName val="№ 4-4 Мат 0,5 ст"/>
      <sheetName val="№ 4-5 Мат 0,5 ст шелкогр"/>
      <sheetName val="Мат 6"/>
      <sheetName val="Мат 7"/>
      <sheetName val="Мат 8"/>
      <sheetName val="Мат 9"/>
      <sheetName val="Мат 10"/>
      <sheetName val="Мат 11"/>
      <sheetName val="Мат 12"/>
      <sheetName val="Мат 13"/>
      <sheetName val="Мат 14"/>
      <sheetName val="Мат Тов-15"/>
      <sheetName val="Мат Тов-16"/>
      <sheetName val="Мат Тов-17"/>
      <sheetName val="Мат Тов-18"/>
      <sheetName val="Мат Тов-19"/>
      <sheetName val="Мат Тов-20"/>
      <sheetName val="№ 5 Энерго"/>
      <sheetName val="Персонал"/>
      <sheetName val="Налоги"/>
      <sheetName val="№ 6-1 Свод затрат без НДС"/>
      <sheetName val="№ 6-2 Свод затрат с НДС"/>
      <sheetName val="№ 7 КАЛЬКУЛ 1-2"/>
      <sheetName val="№ 7 КАЛЬКУЛ 3-4"/>
      <sheetName val="КАЛЬКУЛ 5"/>
      <sheetName val="Затраты по месяцам"/>
      <sheetName val="Нал на трансп"/>
      <sheetName val="Ставки соц"/>
      <sheetName val="Ставки под.физ"/>
      <sheetName val="ГСМ"/>
      <sheetName val="График"/>
    </sheetNames>
    <sheetDataSet>
      <sheetData sheetId="0" refreshError="1">
        <row r="2">
          <cell r="C2" t="str">
            <v>Участники  Производство стеклотары</v>
          </cell>
        </row>
        <row r="7">
          <cell r="C7" t="str">
            <v>Участники</v>
          </cell>
        </row>
        <row r="8">
          <cell r="C8" t="str">
            <v>Банк Казахстан</v>
          </cell>
        </row>
        <row r="9">
          <cell r="C9" t="str">
            <v>Банк Иностранный</v>
          </cell>
        </row>
        <row r="10">
          <cell r="C10" t="str">
            <v>Банк Иностранный2</v>
          </cell>
        </row>
        <row r="19">
          <cell r="C19" t="str">
            <v>EUR</v>
          </cell>
        </row>
        <row r="21">
          <cell r="C21" t="str">
            <v>EUR</v>
          </cell>
        </row>
        <row r="31">
          <cell r="C31">
            <v>169</v>
          </cell>
        </row>
        <row r="35">
          <cell r="C35">
            <v>0</v>
          </cell>
        </row>
        <row r="41">
          <cell r="D41">
            <v>1</v>
          </cell>
          <cell r="E41">
            <v>1</v>
          </cell>
          <cell r="F41">
            <v>1</v>
          </cell>
          <cell r="G41">
            <v>1</v>
          </cell>
          <cell r="H41">
            <v>1</v>
          </cell>
        </row>
        <row r="42">
          <cell r="D42">
            <v>0.14000000000000001</v>
          </cell>
          <cell r="E42">
            <v>0.14000000000000001</v>
          </cell>
          <cell r="F42">
            <v>0.14000000000000001</v>
          </cell>
          <cell r="G42">
            <v>0.14000000000000001</v>
          </cell>
          <cell r="H42">
            <v>0.14000000000000001</v>
          </cell>
          <cell r="I42">
            <v>0.12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0.01</v>
          </cell>
          <cell r="J44">
            <v>0.01</v>
          </cell>
          <cell r="K44">
            <v>0.01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0.3</v>
          </cell>
          <cell r="J46">
            <v>0.3</v>
          </cell>
          <cell r="K46">
            <v>0.3</v>
          </cell>
        </row>
        <row r="48">
          <cell r="D48">
            <v>0.18</v>
          </cell>
          <cell r="E48">
            <v>0.18</v>
          </cell>
          <cell r="F48">
            <v>0.18</v>
          </cell>
          <cell r="G48">
            <v>0.18</v>
          </cell>
          <cell r="H48">
            <v>0.18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9">
          <cell r="C9" t="str">
            <v>Земля</v>
          </cell>
          <cell r="H9">
            <v>320359.28143712576</v>
          </cell>
          <cell r="I9" t="str">
            <v>1,7</v>
          </cell>
          <cell r="L9">
            <v>0</v>
          </cell>
          <cell r="P9">
            <v>0</v>
          </cell>
          <cell r="T9">
            <v>0</v>
          </cell>
        </row>
        <row r="10">
          <cell r="C10" t="str">
            <v>Прочие</v>
          </cell>
          <cell r="H10">
            <v>1430167.4321260366</v>
          </cell>
          <cell r="I10" t="str">
            <v>1,8</v>
          </cell>
          <cell r="L10">
            <v>0</v>
          </cell>
          <cell r="P10">
            <v>286781.17998506344</v>
          </cell>
          <cell r="Q10" t="str">
            <v>1,9</v>
          </cell>
          <cell r="T10">
            <v>0</v>
          </cell>
        </row>
        <row r="11">
          <cell r="H11">
            <v>0</v>
          </cell>
          <cell r="L11">
            <v>0</v>
          </cell>
          <cell r="P11">
            <v>0</v>
          </cell>
          <cell r="T11">
            <v>0</v>
          </cell>
        </row>
        <row r="14">
          <cell r="C14" t="str">
            <v>Производственное оборудование</v>
          </cell>
          <cell r="H14">
            <v>0</v>
          </cell>
          <cell r="L14">
            <v>0</v>
          </cell>
          <cell r="P14">
            <v>36711270</v>
          </cell>
          <cell r="Q14" t="str">
            <v>1,8</v>
          </cell>
          <cell r="T14">
            <v>0</v>
          </cell>
          <cell r="U14" t="str">
            <v>1,1</v>
          </cell>
        </row>
        <row r="15">
          <cell r="C15" t="str">
            <v>Производственное оборудование</v>
          </cell>
          <cell r="H15">
            <v>0</v>
          </cell>
          <cell r="L15">
            <v>0</v>
          </cell>
          <cell r="P15">
            <v>3812038.8349514562</v>
          </cell>
          <cell r="Q15" t="str">
            <v>1,8</v>
          </cell>
          <cell r="T15">
            <v>0</v>
          </cell>
        </row>
        <row r="16">
          <cell r="C16" t="str">
            <v>Производственное оборудование</v>
          </cell>
          <cell r="H16">
            <v>0</v>
          </cell>
          <cell r="L16">
            <v>0</v>
          </cell>
          <cell r="P16">
            <v>823002.24047796871</v>
          </cell>
          <cell r="Q16" t="str">
            <v>1,8</v>
          </cell>
          <cell r="T16">
            <v>0</v>
          </cell>
        </row>
        <row r="17">
          <cell r="C17" t="str">
            <v>Производственное оборудование</v>
          </cell>
          <cell r="H17">
            <v>0</v>
          </cell>
          <cell r="L17">
            <v>0</v>
          </cell>
          <cell r="P17">
            <v>900000</v>
          </cell>
          <cell r="Q17" t="str">
            <v>1,8</v>
          </cell>
          <cell r="T17">
            <v>0</v>
          </cell>
        </row>
        <row r="18">
          <cell r="C18" t="str">
            <v>Прочие</v>
          </cell>
          <cell r="H18">
            <v>0</v>
          </cell>
          <cell r="L18">
            <v>0</v>
          </cell>
          <cell r="P18">
            <v>1060000</v>
          </cell>
          <cell r="Q18" t="str">
            <v>1,8</v>
          </cell>
          <cell r="T18">
            <v>0</v>
          </cell>
        </row>
        <row r="19">
          <cell r="C19" t="str">
            <v>Прочие</v>
          </cell>
          <cell r="H19">
            <v>0</v>
          </cell>
          <cell r="L19">
            <v>0</v>
          </cell>
          <cell r="P19">
            <v>1320000</v>
          </cell>
          <cell r="Q19" t="str">
            <v>1,8</v>
          </cell>
          <cell r="T19">
            <v>0</v>
          </cell>
        </row>
        <row r="20">
          <cell r="C20" t="str">
            <v>Прочие</v>
          </cell>
          <cell r="H20">
            <v>1170104.3400000001</v>
          </cell>
          <cell r="I20" t="str">
            <v>2,5</v>
          </cell>
          <cell r="L20">
            <v>0</v>
          </cell>
          <cell r="P20">
            <v>815434.58215568983</v>
          </cell>
          <cell r="Q20" t="str">
            <v>2,5</v>
          </cell>
          <cell r="T20">
            <v>0</v>
          </cell>
        </row>
        <row r="21">
          <cell r="C21" t="str">
            <v xml:space="preserve">Прочее оборудование </v>
          </cell>
          <cell r="H21">
            <v>410754.2942494399</v>
          </cell>
          <cell r="I21" t="str">
            <v>1,9</v>
          </cell>
          <cell r="L21">
            <v>0</v>
          </cell>
          <cell r="P21">
            <v>0</v>
          </cell>
          <cell r="T21">
            <v>0</v>
          </cell>
        </row>
        <row r="22">
          <cell r="C22" t="str">
            <v xml:space="preserve">Прочее оборудование </v>
          </cell>
          <cell r="H22">
            <v>0</v>
          </cell>
          <cell r="L22">
            <v>389614.3426779898</v>
          </cell>
          <cell r="M22" t="str">
            <v>1,12</v>
          </cell>
          <cell r="P22">
            <v>0</v>
          </cell>
          <cell r="T22">
            <v>0</v>
          </cell>
        </row>
        <row r="23">
          <cell r="H23">
            <v>0</v>
          </cell>
          <cell r="L23">
            <v>0</v>
          </cell>
          <cell r="P23">
            <v>0</v>
          </cell>
          <cell r="T23">
            <v>0</v>
          </cell>
        </row>
        <row r="24">
          <cell r="H24">
            <v>0</v>
          </cell>
          <cell r="L24">
            <v>0</v>
          </cell>
          <cell r="P24">
            <v>0</v>
          </cell>
          <cell r="T24">
            <v>0</v>
          </cell>
        </row>
        <row r="25">
          <cell r="H25">
            <v>0</v>
          </cell>
          <cell r="L25">
            <v>0</v>
          </cell>
          <cell r="P25">
            <v>0</v>
          </cell>
          <cell r="T25">
            <v>0</v>
          </cell>
        </row>
        <row r="26">
          <cell r="H26">
            <v>0</v>
          </cell>
          <cell r="L26">
            <v>0</v>
          </cell>
          <cell r="P26">
            <v>0</v>
          </cell>
          <cell r="T26">
            <v>0</v>
          </cell>
        </row>
        <row r="27">
          <cell r="H27">
            <v>0</v>
          </cell>
          <cell r="L27">
            <v>0</v>
          </cell>
          <cell r="P27">
            <v>0</v>
          </cell>
          <cell r="T27">
            <v>0</v>
          </cell>
        </row>
        <row r="28">
          <cell r="H28">
            <v>0</v>
          </cell>
          <cell r="L28">
            <v>0</v>
          </cell>
          <cell r="P28">
            <v>0</v>
          </cell>
          <cell r="T28">
            <v>0</v>
          </cell>
        </row>
        <row r="29">
          <cell r="H29">
            <v>0</v>
          </cell>
          <cell r="L29">
            <v>0</v>
          </cell>
          <cell r="P29">
            <v>0</v>
          </cell>
          <cell r="T29">
            <v>0</v>
          </cell>
        </row>
        <row r="30">
          <cell r="H30">
            <v>0</v>
          </cell>
          <cell r="L30">
            <v>0</v>
          </cell>
          <cell r="P30">
            <v>0</v>
          </cell>
          <cell r="T30">
            <v>0</v>
          </cell>
        </row>
        <row r="31">
          <cell r="H31">
            <v>0</v>
          </cell>
          <cell r="L31">
            <v>0</v>
          </cell>
          <cell r="P31">
            <v>0</v>
          </cell>
          <cell r="T31">
            <v>0</v>
          </cell>
        </row>
        <row r="32">
          <cell r="H32">
            <v>0</v>
          </cell>
          <cell r="L32">
            <v>0</v>
          </cell>
          <cell r="P32">
            <v>0</v>
          </cell>
          <cell r="T32">
            <v>0</v>
          </cell>
        </row>
        <row r="33">
          <cell r="H33">
            <v>1580858.6342494399</v>
          </cell>
          <cell r="L33">
            <v>389614.3426779898</v>
          </cell>
          <cell r="P33">
            <v>45441745.657585114</v>
          </cell>
          <cell r="T33">
            <v>0</v>
          </cell>
        </row>
        <row r="36">
          <cell r="H36">
            <v>0</v>
          </cell>
          <cell r="L36">
            <v>0</v>
          </cell>
          <cell r="P36">
            <v>0</v>
          </cell>
          <cell r="T36">
            <v>0</v>
          </cell>
        </row>
        <row r="37">
          <cell r="C37" t="str">
            <v>Прочие</v>
          </cell>
          <cell r="H37">
            <v>0</v>
          </cell>
          <cell r="L37">
            <v>173652.69461077845</v>
          </cell>
          <cell r="M37" t="str">
            <v>1,8</v>
          </cell>
          <cell r="P37">
            <v>0</v>
          </cell>
          <cell r="T37">
            <v>0</v>
          </cell>
        </row>
        <row r="38">
          <cell r="C38" t="str">
            <v>Здания, сооружения</v>
          </cell>
          <cell r="H38">
            <v>0</v>
          </cell>
          <cell r="L38">
            <v>0</v>
          </cell>
          <cell r="P38">
            <v>2673637.0425690813</v>
          </cell>
          <cell r="Q38" t="str">
            <v>1,9</v>
          </cell>
          <cell r="T38">
            <v>0</v>
          </cell>
        </row>
        <row r="39">
          <cell r="C39" t="str">
            <v>Здания, сооружения</v>
          </cell>
          <cell r="H39">
            <v>0</v>
          </cell>
          <cell r="L39">
            <v>0</v>
          </cell>
          <cell r="P39">
            <v>1784914.1150112024</v>
          </cell>
          <cell r="Q39" t="str">
            <v>1,9</v>
          </cell>
          <cell r="T39">
            <v>0</v>
          </cell>
        </row>
        <row r="40">
          <cell r="C40" t="str">
            <v>Здания, сооружения</v>
          </cell>
          <cell r="H40">
            <v>0</v>
          </cell>
          <cell r="L40">
            <v>0</v>
          </cell>
          <cell r="P40">
            <v>1045556.3853622107</v>
          </cell>
          <cell r="Q40" t="str">
            <v>1,11</v>
          </cell>
          <cell r="T40">
            <v>0</v>
          </cell>
        </row>
        <row r="41">
          <cell r="C41" t="str">
            <v>Здания, сооружения</v>
          </cell>
          <cell r="H41">
            <v>0</v>
          </cell>
          <cell r="L41">
            <v>0</v>
          </cell>
          <cell r="P41">
            <v>298730.39581777446</v>
          </cell>
          <cell r="Q41" t="str">
            <v>1,11</v>
          </cell>
          <cell r="T41">
            <v>0</v>
          </cell>
        </row>
        <row r="42">
          <cell r="C42" t="str">
            <v>Здания, сооружения</v>
          </cell>
          <cell r="H42">
            <v>0</v>
          </cell>
          <cell r="L42">
            <v>0</v>
          </cell>
          <cell r="P42">
            <v>291262.13592233008</v>
          </cell>
          <cell r="Q42" t="str">
            <v>1,12</v>
          </cell>
          <cell r="T42">
            <v>0</v>
          </cell>
        </row>
        <row r="43">
          <cell r="C43" t="str">
            <v>Прочие</v>
          </cell>
          <cell r="H43">
            <v>0</v>
          </cell>
          <cell r="L43">
            <v>0</v>
          </cell>
          <cell r="P43">
            <v>377147.12471994024</v>
          </cell>
          <cell r="Q43" t="str">
            <v>1,12</v>
          </cell>
          <cell r="T43">
            <v>0</v>
          </cell>
        </row>
        <row r="44">
          <cell r="C44" t="str">
            <v>Прочие</v>
          </cell>
          <cell r="H44">
            <v>0</v>
          </cell>
          <cell r="L44">
            <v>0</v>
          </cell>
          <cell r="P44">
            <v>1030619.8655713219</v>
          </cell>
          <cell r="Q44" t="str">
            <v>1,12</v>
          </cell>
          <cell r="T44">
            <v>0</v>
          </cell>
        </row>
        <row r="45">
          <cell r="H45">
            <v>0</v>
          </cell>
          <cell r="L45">
            <v>0</v>
          </cell>
          <cell r="P45">
            <v>0</v>
          </cell>
          <cell r="T45">
            <v>0</v>
          </cell>
        </row>
        <row r="46">
          <cell r="C46" t="str">
            <v>Прочие</v>
          </cell>
          <cell r="H46">
            <v>0</v>
          </cell>
          <cell r="L46">
            <v>143712.5748502994</v>
          </cell>
          <cell r="M46" t="str">
            <v>1,8</v>
          </cell>
          <cell r="P46">
            <v>0</v>
          </cell>
          <cell r="T46">
            <v>0</v>
          </cell>
        </row>
        <row r="47">
          <cell r="C47" t="str">
            <v>Прочие</v>
          </cell>
          <cell r="H47">
            <v>0</v>
          </cell>
          <cell r="L47">
            <v>86826.347305389223</v>
          </cell>
          <cell r="M47" t="str">
            <v>1,8</v>
          </cell>
          <cell r="P47">
            <v>0</v>
          </cell>
          <cell r="T47">
            <v>0</v>
          </cell>
        </row>
        <row r="48">
          <cell r="C48" t="str">
            <v>Прочие</v>
          </cell>
          <cell r="H48">
            <v>0</v>
          </cell>
          <cell r="L48">
            <v>543485.02994011971</v>
          </cell>
          <cell r="M48" t="str">
            <v>1,8</v>
          </cell>
          <cell r="P48">
            <v>0</v>
          </cell>
          <cell r="T48">
            <v>0</v>
          </cell>
        </row>
        <row r="49">
          <cell r="C49" t="str">
            <v>Прочие</v>
          </cell>
          <cell r="H49">
            <v>0</v>
          </cell>
          <cell r="L49">
            <v>271742.51497005986</v>
          </cell>
          <cell r="M49" t="str">
            <v>1,8</v>
          </cell>
          <cell r="P49">
            <v>0</v>
          </cell>
          <cell r="T49">
            <v>0</v>
          </cell>
        </row>
        <row r="50">
          <cell r="C50" t="str">
            <v>Прочие</v>
          </cell>
          <cell r="H50">
            <v>0</v>
          </cell>
          <cell r="L50">
            <v>191616.76646706587</v>
          </cell>
          <cell r="M50" t="str">
            <v>1,8</v>
          </cell>
          <cell r="P50">
            <v>0</v>
          </cell>
          <cell r="T50">
            <v>0</v>
          </cell>
        </row>
        <row r="51">
          <cell r="C51" t="str">
            <v>Здания, сооружения</v>
          </cell>
          <cell r="H51">
            <v>0</v>
          </cell>
          <cell r="L51">
            <v>1365269.4610778443</v>
          </cell>
          <cell r="M51" t="str">
            <v>1,8</v>
          </cell>
          <cell r="P51">
            <v>0</v>
          </cell>
          <cell r="T51">
            <v>0</v>
          </cell>
        </row>
        <row r="52">
          <cell r="C52" t="str">
            <v>Здания, сооружения</v>
          </cell>
          <cell r="H52">
            <v>0</v>
          </cell>
          <cell r="L52">
            <v>625748.50299401197</v>
          </cell>
          <cell r="M52" t="str">
            <v>1,8</v>
          </cell>
          <cell r="P52">
            <v>0</v>
          </cell>
          <cell r="T52">
            <v>0</v>
          </cell>
        </row>
        <row r="53">
          <cell r="C53" t="str">
            <v>Здания, сооружения</v>
          </cell>
          <cell r="H53">
            <v>0</v>
          </cell>
          <cell r="L53">
            <v>1221556.8862275449</v>
          </cell>
          <cell r="M53" t="str">
            <v>1,8</v>
          </cell>
          <cell r="P53">
            <v>0</v>
          </cell>
          <cell r="T53">
            <v>0</v>
          </cell>
        </row>
        <row r="54">
          <cell r="C54" t="str">
            <v>Здания, сооружения</v>
          </cell>
          <cell r="H54">
            <v>0</v>
          </cell>
          <cell r="L54">
            <v>140119.76047904193</v>
          </cell>
          <cell r="M54" t="str">
            <v>1,9</v>
          </cell>
          <cell r="P54">
            <v>0</v>
          </cell>
          <cell r="T54">
            <v>0</v>
          </cell>
        </row>
        <row r="55">
          <cell r="C55" t="str">
            <v>Здания, сооружения</v>
          </cell>
          <cell r="H55">
            <v>0</v>
          </cell>
          <cell r="L55">
            <v>140119.76047904193</v>
          </cell>
          <cell r="M55" t="str">
            <v>1,9</v>
          </cell>
          <cell r="P55">
            <v>0</v>
          </cell>
          <cell r="T55">
            <v>0</v>
          </cell>
        </row>
        <row r="56">
          <cell r="C56" t="str">
            <v>Здания, сооружения</v>
          </cell>
          <cell r="H56">
            <v>0</v>
          </cell>
          <cell r="L56">
            <v>1916167.6646706588</v>
          </cell>
          <cell r="M56" t="str">
            <v>1,9</v>
          </cell>
          <cell r="P56">
            <v>0</v>
          </cell>
          <cell r="T56">
            <v>0</v>
          </cell>
        </row>
        <row r="57">
          <cell r="C57" t="str">
            <v>Здания, сооружения</v>
          </cell>
          <cell r="H57">
            <v>0</v>
          </cell>
          <cell r="L57">
            <v>543485.02994011971</v>
          </cell>
          <cell r="M57" t="str">
            <v>1,9</v>
          </cell>
          <cell r="P57">
            <v>0</v>
          </cell>
          <cell r="T57">
            <v>0</v>
          </cell>
        </row>
        <row r="58">
          <cell r="C58" t="str">
            <v>Здания, сооружения</v>
          </cell>
          <cell r="H58">
            <v>0</v>
          </cell>
          <cell r="L58">
            <v>598802.39520958089</v>
          </cell>
          <cell r="M58" t="str">
            <v>2,1</v>
          </cell>
          <cell r="P58">
            <v>0</v>
          </cell>
          <cell r="T58">
            <v>0</v>
          </cell>
        </row>
        <row r="59">
          <cell r="C59" t="str">
            <v>Прочие</v>
          </cell>
          <cell r="H59">
            <v>0</v>
          </cell>
          <cell r="L59">
            <v>0</v>
          </cell>
          <cell r="P59">
            <v>0</v>
          </cell>
          <cell r="T59">
            <v>0</v>
          </cell>
        </row>
        <row r="60">
          <cell r="C60" t="str">
            <v>Прочие</v>
          </cell>
          <cell r="H60">
            <v>0</v>
          </cell>
          <cell r="L60">
            <v>359281.43712574849</v>
          </cell>
          <cell r="M60" t="str">
            <v>1,10</v>
          </cell>
          <cell r="P60">
            <v>0</v>
          </cell>
          <cell r="T60">
            <v>0</v>
          </cell>
        </row>
        <row r="61">
          <cell r="C61" t="str">
            <v>Здания, сооружения</v>
          </cell>
          <cell r="H61">
            <v>0</v>
          </cell>
          <cell r="L61">
            <v>209580.83832335329</v>
          </cell>
          <cell r="M61" t="str">
            <v>2,3</v>
          </cell>
          <cell r="P61">
            <v>0</v>
          </cell>
          <cell r="T61">
            <v>0</v>
          </cell>
        </row>
        <row r="62">
          <cell r="C62" t="str">
            <v>Прочие</v>
          </cell>
          <cell r="H62">
            <v>0</v>
          </cell>
          <cell r="L62">
            <v>21916.167664670658</v>
          </cell>
          <cell r="M62" t="str">
            <v>2,3</v>
          </cell>
          <cell r="P62">
            <v>0</v>
          </cell>
          <cell r="T62">
            <v>0</v>
          </cell>
        </row>
        <row r="63">
          <cell r="C63" t="str">
            <v>Прочие</v>
          </cell>
          <cell r="H63">
            <v>0</v>
          </cell>
          <cell r="L63">
            <v>10958.083832335329</v>
          </cell>
          <cell r="M63" t="str">
            <v>2,3</v>
          </cell>
          <cell r="P63">
            <v>0</v>
          </cell>
          <cell r="T63">
            <v>0</v>
          </cell>
        </row>
        <row r="64">
          <cell r="C64" t="str">
            <v>Прочие</v>
          </cell>
          <cell r="H64">
            <v>0</v>
          </cell>
          <cell r="L64">
            <v>419161.67664670659</v>
          </cell>
          <cell r="M64" t="str">
            <v>2,1</v>
          </cell>
          <cell r="P64">
            <v>0</v>
          </cell>
          <cell r="T64">
            <v>0</v>
          </cell>
        </row>
        <row r="65">
          <cell r="H65">
            <v>0</v>
          </cell>
          <cell r="L65">
            <v>0</v>
          </cell>
          <cell r="P65">
            <v>0</v>
          </cell>
          <cell r="T65">
            <v>0</v>
          </cell>
        </row>
        <row r="66">
          <cell r="C66" t="str">
            <v>Здания, сооружения</v>
          </cell>
          <cell r="H66">
            <v>0</v>
          </cell>
          <cell r="L66">
            <v>802091.11277072446</v>
          </cell>
          <cell r="M66" t="str">
            <v>2,3</v>
          </cell>
          <cell r="P66">
            <v>0</v>
          </cell>
          <cell r="T66">
            <v>0</v>
          </cell>
        </row>
        <row r="67">
          <cell r="C67" t="str">
            <v>Здания, сооружения</v>
          </cell>
          <cell r="H67">
            <v>0</v>
          </cell>
          <cell r="L67">
            <v>11013381</v>
          </cell>
          <cell r="M67" t="str">
            <v>2,5</v>
          </cell>
          <cell r="P67">
            <v>0</v>
          </cell>
          <cell r="T67">
            <v>0</v>
          </cell>
        </row>
        <row r="68">
          <cell r="C68" t="str">
            <v>Здания, сооружения</v>
          </cell>
          <cell r="H68">
            <v>0</v>
          </cell>
          <cell r="L68">
            <v>535474.2345033607</v>
          </cell>
          <cell r="M68" t="str">
            <v>2,3</v>
          </cell>
          <cell r="P68">
            <v>0</v>
          </cell>
          <cell r="T68">
            <v>0</v>
          </cell>
        </row>
        <row r="69">
          <cell r="C69" t="str">
            <v>Здания, сооружения</v>
          </cell>
          <cell r="H69">
            <v>0</v>
          </cell>
          <cell r="L69">
            <v>1143611.6504854369</v>
          </cell>
          <cell r="M69" t="str">
            <v>2,3</v>
          </cell>
          <cell r="P69">
            <v>0</v>
          </cell>
          <cell r="T69">
            <v>0</v>
          </cell>
        </row>
        <row r="70">
          <cell r="C70" t="str">
            <v>Здания, сооружения</v>
          </cell>
          <cell r="H70">
            <v>0</v>
          </cell>
          <cell r="L70">
            <v>113144.13741598208</v>
          </cell>
          <cell r="M70" t="str">
            <v>2,3</v>
          </cell>
          <cell r="P70">
            <v>0</v>
          </cell>
          <cell r="T70">
            <v>0</v>
          </cell>
        </row>
        <row r="71">
          <cell r="C71" t="str">
            <v>Здания, сооружения</v>
          </cell>
          <cell r="H71">
            <v>0</v>
          </cell>
          <cell r="L71">
            <v>627333.83121732634</v>
          </cell>
          <cell r="M71" t="str">
            <v>2,3</v>
          </cell>
          <cell r="P71">
            <v>0</v>
          </cell>
          <cell r="T71">
            <v>0</v>
          </cell>
        </row>
        <row r="72">
          <cell r="C72" t="str">
            <v>Здания, сооружения</v>
          </cell>
          <cell r="H72">
            <v>0</v>
          </cell>
          <cell r="L72">
            <v>309185.95967139659</v>
          </cell>
          <cell r="M72" t="str">
            <v>2,3</v>
          </cell>
          <cell r="P72">
            <v>0</v>
          </cell>
          <cell r="T72">
            <v>0</v>
          </cell>
        </row>
        <row r="73">
          <cell r="C73" t="str">
            <v>Здания, сооружения</v>
          </cell>
          <cell r="H73">
            <v>0</v>
          </cell>
          <cell r="L73">
            <v>89619.118745332336</v>
          </cell>
          <cell r="M73" t="str">
            <v>2,3</v>
          </cell>
          <cell r="P73">
            <v>0</v>
          </cell>
          <cell r="T73">
            <v>0</v>
          </cell>
        </row>
        <row r="74">
          <cell r="C74" t="str">
            <v>Прочие</v>
          </cell>
          <cell r="H74">
            <v>0</v>
          </cell>
          <cell r="L74">
            <v>51800</v>
          </cell>
          <cell r="M74" t="str">
            <v>2,3</v>
          </cell>
          <cell r="P74">
            <v>0</v>
          </cell>
          <cell r="T74">
            <v>0</v>
          </cell>
        </row>
        <row r="75">
          <cell r="C75" t="str">
            <v>Здания, сооружения</v>
          </cell>
          <cell r="H75">
            <v>0</v>
          </cell>
          <cell r="L75">
            <v>87378.640776699031</v>
          </cell>
          <cell r="M75" t="str">
            <v>2,3</v>
          </cell>
          <cell r="P75">
            <v>0</v>
          </cell>
          <cell r="T75">
            <v>0</v>
          </cell>
        </row>
        <row r="76">
          <cell r="C76" t="str">
            <v>Производственное оборудование</v>
          </cell>
          <cell r="H76">
            <v>0</v>
          </cell>
          <cell r="L76">
            <v>246900.67214339061</v>
          </cell>
          <cell r="M76" t="str">
            <v>2,3</v>
          </cell>
          <cell r="P76">
            <v>0</v>
          </cell>
          <cell r="T76">
            <v>0</v>
          </cell>
        </row>
        <row r="77">
          <cell r="C77" t="str">
            <v>Прочие</v>
          </cell>
          <cell r="H77">
            <v>0</v>
          </cell>
          <cell r="L77">
            <v>50410.75429424944</v>
          </cell>
          <cell r="M77" t="str">
            <v>2,3</v>
          </cell>
          <cell r="P77">
            <v>0</v>
          </cell>
          <cell r="T77">
            <v>0</v>
          </cell>
        </row>
        <row r="78">
          <cell r="C78" t="str">
            <v xml:space="preserve">Прочее оборудование </v>
          </cell>
          <cell r="H78">
            <v>0</v>
          </cell>
          <cell r="L78">
            <v>47904.191616766468</v>
          </cell>
          <cell r="M78" t="str">
            <v>2,3</v>
          </cell>
          <cell r="P78">
            <v>0</v>
          </cell>
          <cell r="T78">
            <v>0</v>
          </cell>
        </row>
        <row r="79">
          <cell r="C79" t="str">
            <v xml:space="preserve">Прочее оборудование </v>
          </cell>
          <cell r="H79">
            <v>0</v>
          </cell>
          <cell r="L79">
            <v>26946.107784431137</v>
          </cell>
          <cell r="M79" t="str">
            <v>2,3</v>
          </cell>
          <cell r="P79">
            <v>0</v>
          </cell>
          <cell r="T79">
            <v>0</v>
          </cell>
        </row>
        <row r="80">
          <cell r="C80" t="str">
            <v xml:space="preserve">Прочее оборудование </v>
          </cell>
          <cell r="H80">
            <v>0</v>
          </cell>
          <cell r="L80">
            <v>114970.05988023953</v>
          </cell>
          <cell r="M80" t="str">
            <v>2,3</v>
          </cell>
          <cell r="P80">
            <v>0</v>
          </cell>
          <cell r="T80">
            <v>0</v>
          </cell>
        </row>
        <row r="81">
          <cell r="H81">
            <v>0</v>
          </cell>
          <cell r="L81">
            <v>0</v>
          </cell>
          <cell r="P81">
            <v>0</v>
          </cell>
          <cell r="T81">
            <v>0</v>
          </cell>
        </row>
        <row r="82">
          <cell r="H82">
            <v>0</v>
          </cell>
          <cell r="L82">
            <v>0</v>
          </cell>
          <cell r="P82">
            <v>0</v>
          </cell>
          <cell r="T82">
            <v>0</v>
          </cell>
        </row>
        <row r="83">
          <cell r="H83">
            <v>0</v>
          </cell>
          <cell r="L83">
            <v>0</v>
          </cell>
          <cell r="P83">
            <v>0</v>
          </cell>
          <cell r="T83">
            <v>0</v>
          </cell>
        </row>
        <row r="84">
          <cell r="H84">
            <v>0</v>
          </cell>
          <cell r="L84">
            <v>0</v>
          </cell>
          <cell r="P84">
            <v>0</v>
          </cell>
          <cell r="T84">
            <v>0</v>
          </cell>
        </row>
        <row r="85">
          <cell r="H85">
            <v>0</v>
          </cell>
          <cell r="L85">
            <v>0</v>
          </cell>
          <cell r="P85">
            <v>0</v>
          </cell>
          <cell r="T85">
            <v>0</v>
          </cell>
        </row>
        <row r="86">
          <cell r="H86">
            <v>0</v>
          </cell>
          <cell r="L86">
            <v>0</v>
          </cell>
          <cell r="P86">
            <v>0</v>
          </cell>
          <cell r="T86">
            <v>0</v>
          </cell>
        </row>
        <row r="87">
          <cell r="H87">
            <v>0</v>
          </cell>
          <cell r="L87">
            <v>0</v>
          </cell>
          <cell r="P87">
            <v>0</v>
          </cell>
          <cell r="T87">
            <v>0</v>
          </cell>
        </row>
        <row r="88">
          <cell r="H88">
            <v>0</v>
          </cell>
          <cell r="L88">
            <v>0</v>
          </cell>
          <cell r="P88">
            <v>0</v>
          </cell>
          <cell r="T88">
            <v>0</v>
          </cell>
        </row>
        <row r="89">
          <cell r="H89">
            <v>0</v>
          </cell>
          <cell r="L89">
            <v>0</v>
          </cell>
          <cell r="P89">
            <v>0</v>
          </cell>
          <cell r="T89">
            <v>0</v>
          </cell>
        </row>
        <row r="90">
          <cell r="H90">
            <v>0</v>
          </cell>
          <cell r="L90">
            <v>0</v>
          </cell>
          <cell r="P90">
            <v>0</v>
          </cell>
          <cell r="T90">
            <v>0</v>
          </cell>
        </row>
        <row r="91">
          <cell r="H91">
            <v>0</v>
          </cell>
          <cell r="L91">
            <v>0</v>
          </cell>
          <cell r="P91">
            <v>0</v>
          </cell>
          <cell r="T91">
            <v>0</v>
          </cell>
        </row>
        <row r="92">
          <cell r="H92">
            <v>0</v>
          </cell>
          <cell r="L92">
            <v>24243355.064119708</v>
          </cell>
          <cell r="P92">
            <v>7501867.064973861</v>
          </cell>
          <cell r="T92">
            <v>0</v>
          </cell>
        </row>
        <row r="95">
          <cell r="C95" t="str">
            <v>Прочие</v>
          </cell>
          <cell r="H95">
            <v>0</v>
          </cell>
          <cell r="L95">
            <v>713218.8200149365</v>
          </cell>
          <cell r="M95" t="str">
            <v>1,12</v>
          </cell>
          <cell r="P95">
            <v>0</v>
          </cell>
          <cell r="T95">
            <v>0</v>
          </cell>
        </row>
        <row r="96">
          <cell r="C96" t="str">
            <v>Прочие</v>
          </cell>
          <cell r="H96">
            <v>0</v>
          </cell>
          <cell r="L96">
            <v>215085.884988798</v>
          </cell>
          <cell r="M96" t="str">
            <v>2,1</v>
          </cell>
          <cell r="P96">
            <v>0</v>
          </cell>
          <cell r="T96">
            <v>0</v>
          </cell>
        </row>
        <row r="97">
          <cell r="C97" t="str">
            <v>Прочие</v>
          </cell>
          <cell r="H97">
            <v>0</v>
          </cell>
          <cell r="L97">
            <v>62733.383121732601</v>
          </cell>
          <cell r="M97" t="str">
            <v>1,8</v>
          </cell>
          <cell r="P97">
            <v>0</v>
          </cell>
          <cell r="T97">
            <v>0</v>
          </cell>
        </row>
        <row r="98">
          <cell r="C98" t="str">
            <v>Прочие</v>
          </cell>
          <cell r="H98">
            <v>0</v>
          </cell>
          <cell r="L98">
            <v>30246.452576549698</v>
          </cell>
          <cell r="M98" t="str">
            <v>1,8</v>
          </cell>
          <cell r="P98">
            <v>0</v>
          </cell>
          <cell r="T98">
            <v>0</v>
          </cell>
        </row>
        <row r="99">
          <cell r="C99" t="str">
            <v>Прочие</v>
          </cell>
          <cell r="H99">
            <v>0</v>
          </cell>
          <cell r="L99">
            <v>504107.54294249439</v>
          </cell>
          <cell r="M99" t="str">
            <v>1,9</v>
          </cell>
          <cell r="P99">
            <v>0</v>
          </cell>
          <cell r="T99">
            <v>0</v>
          </cell>
        </row>
        <row r="100">
          <cell r="C100" t="str">
            <v>Прочие</v>
          </cell>
          <cell r="H100">
            <v>138909.63405526499</v>
          </cell>
          <cell r="I100" t="str">
            <v>1,8</v>
          </cell>
          <cell r="L100">
            <v>0</v>
          </cell>
          <cell r="P100">
            <v>0</v>
          </cell>
          <cell r="T100">
            <v>0</v>
          </cell>
        </row>
        <row r="101">
          <cell r="C101" t="str">
            <v>Прочие</v>
          </cell>
          <cell r="H101">
            <v>38922.155688622799</v>
          </cell>
          <cell r="I101" t="str">
            <v>1,8</v>
          </cell>
          <cell r="L101">
            <v>0</v>
          </cell>
          <cell r="P101">
            <v>0</v>
          </cell>
          <cell r="T101">
            <v>0</v>
          </cell>
        </row>
        <row r="102">
          <cell r="C102" t="str">
            <v>Прочие</v>
          </cell>
          <cell r="H102">
            <v>0</v>
          </cell>
          <cell r="L102">
            <v>151988.55507868383</v>
          </cell>
          <cell r="M102" t="str">
            <v>1,12</v>
          </cell>
          <cell r="P102">
            <v>0</v>
          </cell>
          <cell r="T102">
            <v>0</v>
          </cell>
        </row>
        <row r="103">
          <cell r="C103" t="str">
            <v>Прочие</v>
          </cell>
          <cell r="H103">
            <v>0</v>
          </cell>
          <cell r="L103">
            <v>518000</v>
          </cell>
          <cell r="M103" t="str">
            <v>2,1</v>
          </cell>
          <cell r="P103">
            <v>0</v>
          </cell>
          <cell r="T103">
            <v>0</v>
          </cell>
        </row>
        <row r="104">
          <cell r="H104">
            <v>0</v>
          </cell>
          <cell r="L104">
            <v>0</v>
          </cell>
          <cell r="P104">
            <v>0</v>
          </cell>
          <cell r="T104">
            <v>0</v>
          </cell>
        </row>
        <row r="105">
          <cell r="H105">
            <v>0</v>
          </cell>
          <cell r="L105">
            <v>0</v>
          </cell>
          <cell r="P105">
            <v>0</v>
          </cell>
          <cell r="T105">
            <v>0</v>
          </cell>
        </row>
        <row r="106">
          <cell r="H106">
            <v>177831.78974388778</v>
          </cell>
          <cell r="L106">
            <v>2195380.6387231951</v>
          </cell>
          <cell r="P106">
            <v>0</v>
          </cell>
          <cell r="T106">
            <v>0</v>
          </cell>
        </row>
        <row r="108">
          <cell r="H108">
            <v>1758690.4239933277</v>
          </cell>
          <cell r="L108">
            <v>26828350.045520891</v>
          </cell>
          <cell r="P108">
            <v>52943612.722558975</v>
          </cell>
          <cell r="T108">
            <v>0</v>
          </cell>
        </row>
        <row r="112">
          <cell r="H112">
            <v>0</v>
          </cell>
          <cell r="L112">
            <v>0</v>
          </cell>
          <cell r="P112">
            <v>0</v>
          </cell>
          <cell r="T112">
            <v>0</v>
          </cell>
        </row>
        <row r="113">
          <cell r="H113">
            <v>0</v>
          </cell>
          <cell r="L113">
            <v>0</v>
          </cell>
          <cell r="P113">
            <v>0</v>
          </cell>
          <cell r="T113">
            <v>0</v>
          </cell>
        </row>
        <row r="114">
          <cell r="H114">
            <v>0</v>
          </cell>
          <cell r="L114">
            <v>0</v>
          </cell>
          <cell r="P114">
            <v>0</v>
          </cell>
          <cell r="T114">
            <v>0</v>
          </cell>
        </row>
        <row r="115">
          <cell r="H115">
            <v>0</v>
          </cell>
          <cell r="L115">
            <v>0</v>
          </cell>
          <cell r="P115">
            <v>0</v>
          </cell>
          <cell r="T115">
            <v>0</v>
          </cell>
        </row>
        <row r="116">
          <cell r="H116">
            <v>0</v>
          </cell>
          <cell r="L116">
            <v>0</v>
          </cell>
          <cell r="P116">
            <v>0</v>
          </cell>
          <cell r="T116">
            <v>0</v>
          </cell>
        </row>
        <row r="117">
          <cell r="H117">
            <v>0</v>
          </cell>
          <cell r="L117">
            <v>0</v>
          </cell>
          <cell r="P117">
            <v>0</v>
          </cell>
          <cell r="T117">
            <v>0</v>
          </cell>
        </row>
        <row r="118">
          <cell r="H118">
            <v>0</v>
          </cell>
          <cell r="L118">
            <v>0</v>
          </cell>
          <cell r="P118">
            <v>0</v>
          </cell>
          <cell r="T118">
            <v>0</v>
          </cell>
        </row>
        <row r="119">
          <cell r="H119">
            <v>0</v>
          </cell>
          <cell r="L119">
            <v>0</v>
          </cell>
          <cell r="P119">
            <v>0</v>
          </cell>
          <cell r="T119">
            <v>0</v>
          </cell>
        </row>
        <row r="120">
          <cell r="H120">
            <v>0</v>
          </cell>
          <cell r="L120">
            <v>0</v>
          </cell>
          <cell r="P120">
            <v>0</v>
          </cell>
          <cell r="T120">
            <v>0</v>
          </cell>
        </row>
        <row r="121">
          <cell r="H121">
            <v>0</v>
          </cell>
          <cell r="L121">
            <v>0</v>
          </cell>
          <cell r="P121">
            <v>0</v>
          </cell>
          <cell r="T121">
            <v>0</v>
          </cell>
        </row>
        <row r="122">
          <cell r="H122">
            <v>0</v>
          </cell>
          <cell r="L122">
            <v>0</v>
          </cell>
          <cell r="P122">
            <v>0</v>
          </cell>
          <cell r="T122">
            <v>0</v>
          </cell>
        </row>
        <row r="123">
          <cell r="H123">
            <v>0</v>
          </cell>
          <cell r="L123">
            <v>0</v>
          </cell>
          <cell r="P123">
            <v>0</v>
          </cell>
          <cell r="T123">
            <v>0</v>
          </cell>
        </row>
        <row r="124">
          <cell r="H124">
            <v>0</v>
          </cell>
          <cell r="L124">
            <v>0</v>
          </cell>
          <cell r="P124">
            <v>0</v>
          </cell>
          <cell r="T124">
            <v>0</v>
          </cell>
        </row>
        <row r="125">
          <cell r="H125">
            <v>0</v>
          </cell>
          <cell r="L125">
            <v>0</v>
          </cell>
          <cell r="P125">
            <v>0</v>
          </cell>
          <cell r="T125">
            <v>0</v>
          </cell>
        </row>
        <row r="126">
          <cell r="H126">
            <v>0</v>
          </cell>
          <cell r="L126">
            <v>0</v>
          </cell>
          <cell r="P126">
            <v>0</v>
          </cell>
          <cell r="T126">
            <v>0</v>
          </cell>
        </row>
        <row r="127">
          <cell r="H127">
            <v>0</v>
          </cell>
          <cell r="L127">
            <v>0</v>
          </cell>
          <cell r="P127">
            <v>0</v>
          </cell>
          <cell r="T127">
            <v>0</v>
          </cell>
        </row>
        <row r="128">
          <cell r="H128">
            <v>0</v>
          </cell>
          <cell r="L128">
            <v>0</v>
          </cell>
          <cell r="P128">
            <v>0</v>
          </cell>
          <cell r="T128">
            <v>0</v>
          </cell>
        </row>
        <row r="129">
          <cell r="H129">
            <v>0</v>
          </cell>
          <cell r="L129">
            <v>0</v>
          </cell>
          <cell r="P129">
            <v>0</v>
          </cell>
          <cell r="T129">
            <v>0</v>
          </cell>
        </row>
        <row r="130">
          <cell r="H130">
            <v>0</v>
          </cell>
          <cell r="L130">
            <v>0</v>
          </cell>
          <cell r="P130">
            <v>0</v>
          </cell>
          <cell r="T130">
            <v>0</v>
          </cell>
        </row>
        <row r="131">
          <cell r="H131">
            <v>0</v>
          </cell>
          <cell r="L131">
            <v>0</v>
          </cell>
          <cell r="P131">
            <v>0</v>
          </cell>
          <cell r="T131">
            <v>0</v>
          </cell>
        </row>
        <row r="132">
          <cell r="H132">
            <v>0</v>
          </cell>
          <cell r="L132">
            <v>0</v>
          </cell>
          <cell r="P132">
            <v>0</v>
          </cell>
          <cell r="T132">
            <v>0</v>
          </cell>
        </row>
        <row r="133">
          <cell r="H133">
            <v>0</v>
          </cell>
          <cell r="L133">
            <v>0</v>
          </cell>
          <cell r="P133">
            <v>0</v>
          </cell>
          <cell r="T133">
            <v>0</v>
          </cell>
        </row>
        <row r="134">
          <cell r="H134">
            <v>0</v>
          </cell>
          <cell r="L134">
            <v>0</v>
          </cell>
          <cell r="P134">
            <v>0</v>
          </cell>
          <cell r="T134">
            <v>0</v>
          </cell>
        </row>
        <row r="137">
          <cell r="H137">
            <v>0</v>
          </cell>
          <cell r="L137">
            <v>0</v>
          </cell>
          <cell r="P137">
            <v>0</v>
          </cell>
          <cell r="T137">
            <v>0</v>
          </cell>
        </row>
        <row r="138">
          <cell r="H138">
            <v>0</v>
          </cell>
          <cell r="L138">
            <v>0</v>
          </cell>
          <cell r="P138">
            <v>0</v>
          </cell>
          <cell r="T138">
            <v>0</v>
          </cell>
        </row>
        <row r="139">
          <cell r="H139">
            <v>0</v>
          </cell>
          <cell r="L139">
            <v>0</v>
          </cell>
          <cell r="P139">
            <v>0</v>
          </cell>
          <cell r="T139">
            <v>0</v>
          </cell>
        </row>
        <row r="140">
          <cell r="H140">
            <v>0</v>
          </cell>
          <cell r="L140">
            <v>0</v>
          </cell>
          <cell r="P140">
            <v>0</v>
          </cell>
          <cell r="T140">
            <v>0</v>
          </cell>
        </row>
        <row r="141">
          <cell r="H141">
            <v>0</v>
          </cell>
          <cell r="L141">
            <v>0</v>
          </cell>
          <cell r="P141">
            <v>0</v>
          </cell>
          <cell r="T141">
            <v>0</v>
          </cell>
        </row>
        <row r="142">
          <cell r="H142">
            <v>0</v>
          </cell>
          <cell r="L142">
            <v>0</v>
          </cell>
          <cell r="P142">
            <v>0</v>
          </cell>
          <cell r="T142">
            <v>0</v>
          </cell>
        </row>
        <row r="143">
          <cell r="H143">
            <v>0</v>
          </cell>
          <cell r="L143">
            <v>0</v>
          </cell>
          <cell r="P143">
            <v>0</v>
          </cell>
          <cell r="T143">
            <v>0</v>
          </cell>
        </row>
        <row r="144">
          <cell r="H144">
            <v>0</v>
          </cell>
          <cell r="L144">
            <v>0</v>
          </cell>
          <cell r="P144">
            <v>0</v>
          </cell>
          <cell r="T144">
            <v>0</v>
          </cell>
        </row>
        <row r="145">
          <cell r="H145">
            <v>0</v>
          </cell>
          <cell r="L145">
            <v>0</v>
          </cell>
          <cell r="P145">
            <v>0</v>
          </cell>
          <cell r="T145">
            <v>0</v>
          </cell>
        </row>
        <row r="146">
          <cell r="H146">
            <v>0</v>
          </cell>
          <cell r="L146">
            <v>0</v>
          </cell>
          <cell r="P146">
            <v>0</v>
          </cell>
          <cell r="T146">
            <v>0</v>
          </cell>
        </row>
        <row r="147">
          <cell r="H147">
            <v>0</v>
          </cell>
          <cell r="L147">
            <v>0</v>
          </cell>
          <cell r="P147">
            <v>0</v>
          </cell>
          <cell r="T147">
            <v>0</v>
          </cell>
        </row>
        <row r="148">
          <cell r="H148">
            <v>0</v>
          </cell>
          <cell r="L148">
            <v>0</v>
          </cell>
          <cell r="P148">
            <v>0</v>
          </cell>
          <cell r="T148">
            <v>0</v>
          </cell>
        </row>
        <row r="149">
          <cell r="H149">
            <v>0</v>
          </cell>
          <cell r="L149">
            <v>0</v>
          </cell>
          <cell r="P149">
            <v>0</v>
          </cell>
          <cell r="T149">
            <v>0</v>
          </cell>
        </row>
        <row r="150">
          <cell r="H150">
            <v>0</v>
          </cell>
          <cell r="L150">
            <v>0</v>
          </cell>
          <cell r="P150">
            <v>0</v>
          </cell>
          <cell r="T150">
            <v>0</v>
          </cell>
        </row>
        <row r="151">
          <cell r="H151">
            <v>0</v>
          </cell>
          <cell r="L151">
            <v>0</v>
          </cell>
          <cell r="P151">
            <v>0</v>
          </cell>
          <cell r="T151">
            <v>0</v>
          </cell>
        </row>
        <row r="154">
          <cell r="H154">
            <v>0</v>
          </cell>
          <cell r="L154">
            <v>0</v>
          </cell>
          <cell r="P154">
            <v>0</v>
          </cell>
          <cell r="T154">
            <v>0</v>
          </cell>
        </row>
        <row r="155">
          <cell r="H155">
            <v>0</v>
          </cell>
          <cell r="L155">
            <v>0</v>
          </cell>
          <cell r="P155">
            <v>0</v>
          </cell>
          <cell r="T155">
            <v>0</v>
          </cell>
        </row>
        <row r="156">
          <cell r="H156">
            <v>0</v>
          </cell>
          <cell r="L156">
            <v>0</v>
          </cell>
          <cell r="P156">
            <v>0</v>
          </cell>
          <cell r="T156">
            <v>0</v>
          </cell>
        </row>
        <row r="157">
          <cell r="H157">
            <v>0</v>
          </cell>
          <cell r="L157">
            <v>0</v>
          </cell>
          <cell r="P157">
            <v>0</v>
          </cell>
          <cell r="T157">
            <v>0</v>
          </cell>
        </row>
        <row r="158">
          <cell r="H158">
            <v>0</v>
          </cell>
          <cell r="L158">
            <v>0</v>
          </cell>
          <cell r="P158">
            <v>0</v>
          </cell>
          <cell r="T158">
            <v>0</v>
          </cell>
        </row>
        <row r="159">
          <cell r="H159">
            <v>0</v>
          </cell>
          <cell r="L159">
            <v>0</v>
          </cell>
          <cell r="P159">
            <v>0</v>
          </cell>
          <cell r="T159">
            <v>0</v>
          </cell>
        </row>
        <row r="160">
          <cell r="H160">
            <v>0</v>
          </cell>
          <cell r="L160">
            <v>0</v>
          </cell>
          <cell r="P160">
            <v>0</v>
          </cell>
          <cell r="T160">
            <v>0</v>
          </cell>
        </row>
        <row r="161">
          <cell r="H161">
            <v>0</v>
          </cell>
          <cell r="L161">
            <v>0</v>
          </cell>
          <cell r="P161">
            <v>0</v>
          </cell>
          <cell r="T161">
            <v>0</v>
          </cell>
        </row>
        <row r="162">
          <cell r="H162">
            <v>0</v>
          </cell>
          <cell r="L162">
            <v>0</v>
          </cell>
          <cell r="P162">
            <v>0</v>
          </cell>
          <cell r="T162">
            <v>0</v>
          </cell>
        </row>
        <row r="163">
          <cell r="H163">
            <v>0</v>
          </cell>
          <cell r="L163">
            <v>0</v>
          </cell>
          <cell r="P163">
            <v>0</v>
          </cell>
          <cell r="T163">
            <v>0</v>
          </cell>
        </row>
        <row r="164">
          <cell r="H164">
            <v>0</v>
          </cell>
          <cell r="L164">
            <v>0</v>
          </cell>
          <cell r="P164">
            <v>0</v>
          </cell>
          <cell r="T164">
            <v>0</v>
          </cell>
        </row>
        <row r="165">
          <cell r="H165">
            <v>0</v>
          </cell>
          <cell r="L165">
            <v>0</v>
          </cell>
          <cell r="P165">
            <v>0</v>
          </cell>
          <cell r="T165">
            <v>0</v>
          </cell>
        </row>
        <row r="167">
          <cell r="H167">
            <v>0</v>
          </cell>
          <cell r="L167">
            <v>0</v>
          </cell>
          <cell r="P167">
            <v>0</v>
          </cell>
          <cell r="T167">
            <v>0</v>
          </cell>
        </row>
        <row r="171">
          <cell r="H171">
            <v>0</v>
          </cell>
          <cell r="L171">
            <v>0</v>
          </cell>
          <cell r="P171">
            <v>0</v>
          </cell>
          <cell r="T171">
            <v>0</v>
          </cell>
        </row>
        <row r="172">
          <cell r="H172">
            <v>0</v>
          </cell>
          <cell r="L172">
            <v>0</v>
          </cell>
          <cell r="P172">
            <v>0</v>
          </cell>
          <cell r="T172">
            <v>0</v>
          </cell>
        </row>
        <row r="173">
          <cell r="H173">
            <v>0</v>
          </cell>
          <cell r="L173">
            <v>0</v>
          </cell>
          <cell r="P173">
            <v>0</v>
          </cell>
          <cell r="T173">
            <v>0</v>
          </cell>
        </row>
        <row r="174">
          <cell r="H174">
            <v>0</v>
          </cell>
          <cell r="L174">
            <v>0</v>
          </cell>
          <cell r="P174">
            <v>0</v>
          </cell>
          <cell r="T174">
            <v>0</v>
          </cell>
        </row>
        <row r="175">
          <cell r="H175">
            <v>0</v>
          </cell>
          <cell r="L175">
            <v>0</v>
          </cell>
          <cell r="P175">
            <v>0</v>
          </cell>
          <cell r="T175">
            <v>0</v>
          </cell>
        </row>
        <row r="176">
          <cell r="H176">
            <v>0</v>
          </cell>
          <cell r="L176">
            <v>0</v>
          </cell>
          <cell r="P176">
            <v>0</v>
          </cell>
          <cell r="T176">
            <v>0</v>
          </cell>
        </row>
        <row r="177">
          <cell r="H177">
            <v>0</v>
          </cell>
          <cell r="L177">
            <v>0</v>
          </cell>
          <cell r="P177">
            <v>0</v>
          </cell>
          <cell r="T177">
            <v>0</v>
          </cell>
        </row>
        <row r="178">
          <cell r="H178">
            <v>0</v>
          </cell>
          <cell r="L178">
            <v>0</v>
          </cell>
          <cell r="P178">
            <v>0</v>
          </cell>
          <cell r="T178">
            <v>0</v>
          </cell>
        </row>
        <row r="179">
          <cell r="H179">
            <v>0</v>
          </cell>
          <cell r="L179">
            <v>0</v>
          </cell>
          <cell r="P179">
            <v>0</v>
          </cell>
          <cell r="T179">
            <v>0</v>
          </cell>
        </row>
        <row r="180">
          <cell r="H180">
            <v>0</v>
          </cell>
          <cell r="L180">
            <v>0</v>
          </cell>
          <cell r="P180">
            <v>0</v>
          </cell>
          <cell r="T180">
            <v>0</v>
          </cell>
        </row>
        <row r="181">
          <cell r="H181">
            <v>0</v>
          </cell>
          <cell r="L181">
            <v>0</v>
          </cell>
          <cell r="P181">
            <v>0</v>
          </cell>
          <cell r="T181">
            <v>0</v>
          </cell>
        </row>
        <row r="182">
          <cell r="H182">
            <v>0</v>
          </cell>
          <cell r="L182">
            <v>0</v>
          </cell>
          <cell r="P182">
            <v>0</v>
          </cell>
          <cell r="T182">
            <v>0</v>
          </cell>
        </row>
        <row r="183">
          <cell r="H183">
            <v>0</v>
          </cell>
          <cell r="L183">
            <v>0</v>
          </cell>
          <cell r="P183">
            <v>0</v>
          </cell>
          <cell r="T183">
            <v>0</v>
          </cell>
        </row>
        <row r="184">
          <cell r="H184">
            <v>0</v>
          </cell>
          <cell r="L184">
            <v>0</v>
          </cell>
          <cell r="P184">
            <v>0</v>
          </cell>
          <cell r="T184">
            <v>0</v>
          </cell>
        </row>
        <row r="185">
          <cell r="H185">
            <v>0</v>
          </cell>
          <cell r="L185">
            <v>0</v>
          </cell>
          <cell r="P185">
            <v>0</v>
          </cell>
          <cell r="T185">
            <v>0</v>
          </cell>
        </row>
        <row r="186">
          <cell r="H186">
            <v>0</v>
          </cell>
          <cell r="L186">
            <v>0</v>
          </cell>
          <cell r="P186">
            <v>0</v>
          </cell>
          <cell r="T186">
            <v>0</v>
          </cell>
        </row>
        <row r="187">
          <cell r="H187">
            <v>0</v>
          </cell>
          <cell r="L187">
            <v>0</v>
          </cell>
          <cell r="P187">
            <v>0</v>
          </cell>
          <cell r="T187">
            <v>0</v>
          </cell>
        </row>
        <row r="188">
          <cell r="H188">
            <v>0</v>
          </cell>
          <cell r="L188">
            <v>0</v>
          </cell>
          <cell r="P188">
            <v>0</v>
          </cell>
          <cell r="T188">
            <v>0</v>
          </cell>
        </row>
        <row r="189">
          <cell r="H189">
            <v>0</v>
          </cell>
          <cell r="L189">
            <v>0</v>
          </cell>
          <cell r="P189">
            <v>0</v>
          </cell>
          <cell r="T189">
            <v>0</v>
          </cell>
        </row>
        <row r="190">
          <cell r="H190">
            <v>0</v>
          </cell>
          <cell r="L190">
            <v>0</v>
          </cell>
          <cell r="P190">
            <v>0</v>
          </cell>
          <cell r="T190">
            <v>0</v>
          </cell>
        </row>
        <row r="191">
          <cell r="H191">
            <v>0</v>
          </cell>
          <cell r="L191">
            <v>0</v>
          </cell>
          <cell r="P191">
            <v>0</v>
          </cell>
          <cell r="T191">
            <v>0</v>
          </cell>
        </row>
        <row r="192">
          <cell r="H192">
            <v>0</v>
          </cell>
          <cell r="L192">
            <v>0</v>
          </cell>
          <cell r="P192">
            <v>0</v>
          </cell>
          <cell r="T192">
            <v>0</v>
          </cell>
        </row>
        <row r="193">
          <cell r="H193">
            <v>0</v>
          </cell>
          <cell r="L193">
            <v>0</v>
          </cell>
          <cell r="P193">
            <v>0</v>
          </cell>
          <cell r="T193">
            <v>0</v>
          </cell>
        </row>
        <row r="196">
          <cell r="H196">
            <v>0</v>
          </cell>
          <cell r="L196">
            <v>0</v>
          </cell>
          <cell r="P196">
            <v>0</v>
          </cell>
          <cell r="T196">
            <v>0</v>
          </cell>
        </row>
        <row r="197">
          <cell r="H197">
            <v>0</v>
          </cell>
          <cell r="L197">
            <v>0</v>
          </cell>
          <cell r="P197">
            <v>0</v>
          </cell>
          <cell r="T197">
            <v>0</v>
          </cell>
        </row>
        <row r="198">
          <cell r="H198">
            <v>0</v>
          </cell>
          <cell r="L198">
            <v>0</v>
          </cell>
          <cell r="P198">
            <v>0</v>
          </cell>
          <cell r="T198">
            <v>0</v>
          </cell>
        </row>
        <row r="199">
          <cell r="H199">
            <v>0</v>
          </cell>
          <cell r="L199">
            <v>0</v>
          </cell>
          <cell r="P199">
            <v>0</v>
          </cell>
          <cell r="T199">
            <v>0</v>
          </cell>
        </row>
        <row r="200">
          <cell r="H200">
            <v>0</v>
          </cell>
          <cell r="L200">
            <v>0</v>
          </cell>
          <cell r="P200">
            <v>0</v>
          </cell>
          <cell r="T200">
            <v>0</v>
          </cell>
        </row>
        <row r="201">
          <cell r="H201">
            <v>0</v>
          </cell>
          <cell r="L201">
            <v>0</v>
          </cell>
          <cell r="P201">
            <v>0</v>
          </cell>
          <cell r="T201">
            <v>0</v>
          </cell>
        </row>
        <row r="202">
          <cell r="H202">
            <v>0</v>
          </cell>
          <cell r="L202">
            <v>0</v>
          </cell>
          <cell r="P202">
            <v>0</v>
          </cell>
          <cell r="T202">
            <v>0</v>
          </cell>
        </row>
        <row r="203">
          <cell r="H203">
            <v>0</v>
          </cell>
          <cell r="L203">
            <v>0</v>
          </cell>
          <cell r="P203">
            <v>0</v>
          </cell>
          <cell r="T203">
            <v>0</v>
          </cell>
        </row>
        <row r="204">
          <cell r="H204">
            <v>0</v>
          </cell>
          <cell r="L204">
            <v>0</v>
          </cell>
          <cell r="P204">
            <v>0</v>
          </cell>
          <cell r="T204">
            <v>0</v>
          </cell>
        </row>
        <row r="205">
          <cell r="H205">
            <v>0</v>
          </cell>
          <cell r="L205">
            <v>0</v>
          </cell>
          <cell r="P205">
            <v>0</v>
          </cell>
          <cell r="T205">
            <v>0</v>
          </cell>
        </row>
        <row r="206">
          <cell r="H206">
            <v>0</v>
          </cell>
          <cell r="L206">
            <v>0</v>
          </cell>
          <cell r="P206">
            <v>0</v>
          </cell>
          <cell r="T206">
            <v>0</v>
          </cell>
        </row>
        <row r="207">
          <cell r="H207">
            <v>0</v>
          </cell>
          <cell r="L207">
            <v>0</v>
          </cell>
          <cell r="P207">
            <v>0</v>
          </cell>
          <cell r="T207">
            <v>0</v>
          </cell>
        </row>
        <row r="208">
          <cell r="H208">
            <v>0</v>
          </cell>
          <cell r="L208">
            <v>0</v>
          </cell>
          <cell r="P208">
            <v>0</v>
          </cell>
          <cell r="T208">
            <v>0</v>
          </cell>
        </row>
        <row r="209">
          <cell r="H209">
            <v>0</v>
          </cell>
          <cell r="L209">
            <v>0</v>
          </cell>
          <cell r="P209">
            <v>0</v>
          </cell>
          <cell r="T209">
            <v>0</v>
          </cell>
        </row>
        <row r="210">
          <cell r="H210">
            <v>0</v>
          </cell>
          <cell r="L210">
            <v>0</v>
          </cell>
          <cell r="P210">
            <v>0</v>
          </cell>
          <cell r="T210">
            <v>0</v>
          </cell>
        </row>
        <row r="213">
          <cell r="H213">
            <v>0</v>
          </cell>
          <cell r="L213">
            <v>0</v>
          </cell>
          <cell r="P213">
            <v>0</v>
          </cell>
          <cell r="T213">
            <v>0</v>
          </cell>
        </row>
        <row r="214">
          <cell r="H214">
            <v>0</v>
          </cell>
          <cell r="L214">
            <v>0</v>
          </cell>
          <cell r="P214">
            <v>0</v>
          </cell>
          <cell r="T214">
            <v>0</v>
          </cell>
        </row>
        <row r="215">
          <cell r="H215">
            <v>0</v>
          </cell>
          <cell r="L215">
            <v>0</v>
          </cell>
          <cell r="P215">
            <v>0</v>
          </cell>
          <cell r="T215">
            <v>0</v>
          </cell>
        </row>
        <row r="216">
          <cell r="H216">
            <v>0</v>
          </cell>
          <cell r="L216">
            <v>0</v>
          </cell>
          <cell r="P216">
            <v>0</v>
          </cell>
          <cell r="T216">
            <v>0</v>
          </cell>
        </row>
        <row r="217">
          <cell r="H217">
            <v>0</v>
          </cell>
          <cell r="L217">
            <v>0</v>
          </cell>
          <cell r="P217">
            <v>0</v>
          </cell>
          <cell r="T217">
            <v>0</v>
          </cell>
        </row>
        <row r="218">
          <cell r="H218">
            <v>0</v>
          </cell>
          <cell r="L218">
            <v>0</v>
          </cell>
          <cell r="P218">
            <v>0</v>
          </cell>
          <cell r="T218">
            <v>0</v>
          </cell>
        </row>
        <row r="219">
          <cell r="H219">
            <v>0</v>
          </cell>
          <cell r="L219">
            <v>0</v>
          </cell>
          <cell r="P219">
            <v>0</v>
          </cell>
          <cell r="T219">
            <v>0</v>
          </cell>
        </row>
        <row r="220">
          <cell r="H220">
            <v>0</v>
          </cell>
          <cell r="L220">
            <v>0</v>
          </cell>
          <cell r="P220">
            <v>0</v>
          </cell>
          <cell r="T220">
            <v>0</v>
          </cell>
        </row>
        <row r="221">
          <cell r="H221">
            <v>0</v>
          </cell>
          <cell r="L221">
            <v>0</v>
          </cell>
          <cell r="P221">
            <v>0</v>
          </cell>
          <cell r="T221">
            <v>0</v>
          </cell>
        </row>
        <row r="222">
          <cell r="H222">
            <v>0</v>
          </cell>
          <cell r="L222">
            <v>0</v>
          </cell>
          <cell r="P222">
            <v>0</v>
          </cell>
          <cell r="T222">
            <v>0</v>
          </cell>
        </row>
        <row r="223">
          <cell r="H223">
            <v>0</v>
          </cell>
          <cell r="L223">
            <v>0</v>
          </cell>
          <cell r="P223">
            <v>0</v>
          </cell>
          <cell r="T223">
            <v>0</v>
          </cell>
        </row>
        <row r="224">
          <cell r="H224">
            <v>0</v>
          </cell>
          <cell r="L224">
            <v>0</v>
          </cell>
          <cell r="P224">
            <v>0</v>
          </cell>
          <cell r="T224">
            <v>0</v>
          </cell>
        </row>
        <row r="225">
          <cell r="H225">
            <v>0</v>
          </cell>
          <cell r="L225">
            <v>0</v>
          </cell>
          <cell r="P225">
            <v>0</v>
          </cell>
          <cell r="T225">
            <v>0</v>
          </cell>
        </row>
        <row r="226">
          <cell r="H226">
            <v>0</v>
          </cell>
          <cell r="L226">
            <v>0</v>
          </cell>
          <cell r="P226">
            <v>0</v>
          </cell>
          <cell r="T226">
            <v>0</v>
          </cell>
        </row>
        <row r="227">
          <cell r="H227">
            <v>0</v>
          </cell>
          <cell r="L227">
            <v>0</v>
          </cell>
          <cell r="P227">
            <v>0</v>
          </cell>
          <cell r="T227">
            <v>0</v>
          </cell>
        </row>
        <row r="228">
          <cell r="H228">
            <v>0</v>
          </cell>
          <cell r="L228">
            <v>0</v>
          </cell>
          <cell r="P228">
            <v>0</v>
          </cell>
          <cell r="T228">
            <v>0</v>
          </cell>
        </row>
        <row r="229">
          <cell r="H229">
            <v>0</v>
          </cell>
          <cell r="L229">
            <v>0</v>
          </cell>
          <cell r="P229">
            <v>0</v>
          </cell>
          <cell r="T229">
            <v>0</v>
          </cell>
        </row>
        <row r="230">
          <cell r="H230">
            <v>0</v>
          </cell>
          <cell r="L230">
            <v>0</v>
          </cell>
          <cell r="P230">
            <v>0</v>
          </cell>
          <cell r="T230">
            <v>0</v>
          </cell>
        </row>
        <row r="231">
          <cell r="H231">
            <v>0</v>
          </cell>
          <cell r="L231">
            <v>0</v>
          </cell>
          <cell r="P231">
            <v>0</v>
          </cell>
          <cell r="T231">
            <v>0</v>
          </cell>
        </row>
        <row r="232">
          <cell r="H232">
            <v>0</v>
          </cell>
          <cell r="L232">
            <v>0</v>
          </cell>
          <cell r="P232">
            <v>0</v>
          </cell>
          <cell r="T232">
            <v>0</v>
          </cell>
        </row>
        <row r="234">
          <cell r="H234">
            <v>0</v>
          </cell>
          <cell r="L234">
            <v>0</v>
          </cell>
          <cell r="P234">
            <v>0</v>
          </cell>
          <cell r="T234">
            <v>0</v>
          </cell>
        </row>
        <row r="236">
          <cell r="C236" t="str">
            <v>Прочие</v>
          </cell>
          <cell r="L236">
            <v>0</v>
          </cell>
          <cell r="M236" t="str">
            <v>1,8</v>
          </cell>
        </row>
        <row r="237">
          <cell r="C237" t="str">
            <v>Прочие</v>
          </cell>
          <cell r="L237">
            <v>0</v>
          </cell>
          <cell r="M237" t="str">
            <v>1,7</v>
          </cell>
        </row>
        <row r="238">
          <cell r="C238" t="str">
            <v>Прочие</v>
          </cell>
          <cell r="L238">
            <v>0</v>
          </cell>
          <cell r="M238" t="str">
            <v>1,8</v>
          </cell>
        </row>
        <row r="240">
          <cell r="H240">
            <v>3509217.13755649</v>
          </cell>
          <cell r="L240">
            <v>26828350.045520891</v>
          </cell>
          <cell r="P240">
            <v>53230393.902544037</v>
          </cell>
          <cell r="T240">
            <v>0</v>
          </cell>
        </row>
      </sheetData>
      <sheetData sheetId="18" refreshError="1"/>
      <sheetData sheetId="19" refreshError="1">
        <row r="8">
          <cell r="B8" t="str">
            <v>Здания, сооружения</v>
          </cell>
        </row>
        <row r="9">
          <cell r="B9" t="str">
            <v>Производственное оборудование</v>
          </cell>
        </row>
        <row r="10">
          <cell r="B10" t="str">
            <v xml:space="preserve">Прочее оборудование </v>
          </cell>
        </row>
        <row r="11">
          <cell r="B11" t="str">
            <v>Прочие</v>
          </cell>
        </row>
        <row r="12">
          <cell r="B12" t="str">
            <v>Земля</v>
          </cell>
        </row>
      </sheetData>
      <sheetData sheetId="20" refreshError="1"/>
      <sheetData sheetId="21" refreshError="1">
        <row r="125">
          <cell r="F125">
            <v>1252742.881713433</v>
          </cell>
        </row>
      </sheetData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пост. пар."/>
      <sheetName val="ф-ма2"/>
      <sheetName val="ф-ма3 с НДС"/>
      <sheetName val="Гр стр №"/>
      <sheetName val="КП"/>
      <sheetName val="кредит"/>
      <sheetName val="оборуд.1"/>
      <sheetName val="Расчет фонда опл. с 01.07.07 №1"/>
      <sheetName val="ГСМ №2"/>
      <sheetName val="Аренда №3"/>
      <sheetName val="Команд.№4"/>
      <sheetName val="Связь№5"/>
      <sheetName val="Банк№6"/>
      <sheetName val="платежи в бюджет №7"/>
      <sheetName val="прочие ОАР №8"/>
      <sheetName val="Приобретение ОС №9"/>
      <sheetName val="Амортизация №10"/>
      <sheetName val="налог на имущ.№11"/>
      <sheetName val="Охрана №12"/>
      <sheetName val="оборуд."/>
    </sheetNames>
    <sheetDataSet>
      <sheetData sheetId="0" refreshError="1">
        <row r="8">
          <cell r="C8">
            <v>4.8150000000000004</v>
          </cell>
        </row>
        <row r="13">
          <cell r="C13">
            <v>65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пост. пар."/>
      <sheetName val="ф-ма2"/>
      <sheetName val="ф-ма3 с НДС"/>
      <sheetName val="Гр стр №"/>
      <sheetName val="КП"/>
      <sheetName val="кредит"/>
      <sheetName val="оборуд.1"/>
      <sheetName val="Расчет фонда опл. с 01.07.07 №1"/>
      <sheetName val="ГСМ №2"/>
      <sheetName val="Аренда №3"/>
      <sheetName val="Команд.№4"/>
      <sheetName val="Связь№5"/>
      <sheetName val="Банк№6"/>
      <sheetName val="платежи в бюджет №7"/>
      <sheetName val="прочие ОАР №8"/>
      <sheetName val="Приобретение ОС №9"/>
      <sheetName val="Амортизация №10"/>
      <sheetName val="налог на имущ.№11"/>
      <sheetName val="Охрана №12"/>
      <sheetName val="оборуд."/>
    </sheetNames>
    <sheetDataSet>
      <sheetData sheetId="0" refreshError="1">
        <row r="8">
          <cell r="C8">
            <v>4.8150000000000004</v>
          </cell>
        </row>
        <row r="13">
          <cell r="C13">
            <v>65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пост. пар."/>
      <sheetName val="ф-ма2"/>
      <sheetName val="ф-ма3 с НДС"/>
      <sheetName val="Гр стр №"/>
      <sheetName val="КП"/>
      <sheetName val="кредит"/>
      <sheetName val="оборуд.1"/>
      <sheetName val="Расчет фонда опл. с 01.07.07 №1"/>
      <sheetName val="ГСМ №2"/>
      <sheetName val="Аренда №3"/>
      <sheetName val="Команд.№4"/>
      <sheetName val="Связь№5"/>
      <sheetName val="Банк№6"/>
      <sheetName val="платежи в бюджет №7"/>
      <sheetName val="прочие ОАР №8"/>
      <sheetName val="Приобретение ОС №9"/>
      <sheetName val="Амортизация №10"/>
      <sheetName val="налог на имущ.№11"/>
      <sheetName val="Охрана №12"/>
      <sheetName val="оборуд."/>
    </sheetNames>
    <sheetDataSet>
      <sheetData sheetId="0" refreshError="1">
        <row r="8">
          <cell r="C8">
            <v>4.8150000000000004</v>
          </cell>
        </row>
        <row r="13">
          <cell r="C13">
            <v>65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Общ_Д"/>
      <sheetName val="Граф_осв"/>
      <sheetName val="L-1"/>
      <sheetName val="L-2"/>
      <sheetName val="g-1"/>
      <sheetName val="Займы"/>
      <sheetName val="АО"/>
      <sheetName val="СС"/>
      <sheetName val="Стр_СС"/>
      <sheetName val="Н"/>
      <sheetName val="Дох"/>
      <sheetName val="Стр_Дох"/>
      <sheetName val="Приб"/>
      <sheetName val="Потоки"/>
      <sheetName val="NPV "/>
      <sheetName val="Анализ"/>
      <sheetName val="Чувств"/>
      <sheetName val="Коэфф"/>
      <sheetName val="Зал"/>
      <sheetName val="Графики"/>
    </sheetNames>
    <sheetDataSet>
      <sheetData sheetId="0" refreshError="1">
        <row r="16">
          <cell r="B16">
            <v>0.98932639114871457</v>
          </cell>
        </row>
      </sheetData>
      <sheetData sheetId="1" refreshError="1"/>
      <sheetData sheetId="2" refreshError="1">
        <row r="5">
          <cell r="B5">
            <v>12450000</v>
          </cell>
        </row>
        <row r="6">
          <cell r="B6">
            <v>0.1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ОтырарПлощадьОПиФА"/>
      <sheetName val="ОтырарПлощадьОПродаж"/>
      <sheetName val="объекты общества"/>
      <sheetName val="ОбъектыОбществаПрочиеХвосты"/>
      <sheetName val="ПрочиеОбъектыХвосты"/>
      <sheetName val="объекты обществаКокшетау"/>
      <sheetName val="БалансСебест"/>
      <sheetName val="РеализацияБухгалтерия"/>
      <sheetName val="Штуки"/>
      <sheetName val="Стоимость"/>
      <sheetName val="Поступления"/>
      <sheetName val="ВозвратДебиторки"/>
      <sheetName val="Итого Потоки"/>
      <sheetName val="Цен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/>
      <sheetData sheetId="8" refreshError="1"/>
      <sheetData sheetId="9" refreshError="1"/>
      <sheetData sheetId="10"/>
      <sheetData sheetId="11"/>
      <sheetData sheetId="12"/>
      <sheetData sheetId="13" refreshError="1"/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Исх"/>
      <sheetName val="ДДС_без 4,5"/>
      <sheetName val="ф3"/>
      <sheetName val="ф2"/>
      <sheetName val="кр"/>
      <sheetName val="Натур пок-ли"/>
    </sheetNames>
    <sheetDataSet>
      <sheetData sheetId="0">
        <row r="7">
          <cell r="C7">
            <v>0.18</v>
          </cell>
        </row>
        <row r="8">
          <cell r="C8">
            <v>1.18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Исх"/>
      <sheetName val="ДДС_без 4,5"/>
      <sheetName val="ф3"/>
      <sheetName val="ф2"/>
      <sheetName val="кр"/>
      <sheetName val="Натур пок-ли"/>
    </sheetNames>
    <sheetDataSet>
      <sheetData sheetId="0">
        <row r="7">
          <cell r="C7">
            <v>0.18</v>
          </cell>
        </row>
        <row r="8">
          <cell r="C8">
            <v>1.18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Исх"/>
      <sheetName val="ДДС_без 4,5"/>
      <sheetName val="ф3"/>
      <sheetName val="ф2"/>
      <sheetName val="кр"/>
      <sheetName val="Натур пок-ли"/>
    </sheetNames>
    <sheetDataSet>
      <sheetData sheetId="0">
        <row r="7">
          <cell r="C7">
            <v>0.18</v>
          </cell>
        </row>
        <row r="8">
          <cell r="C8">
            <v>1.18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Общ_Д"/>
      <sheetName val="Граф+осв"/>
      <sheetName val="L1"/>
      <sheetName val="L2"/>
      <sheetName val="L3"/>
      <sheetName val="Займы"/>
      <sheetName val="АО"/>
      <sheetName val="Дох"/>
      <sheetName val="СС"/>
      <sheetName val="Уд_вес_СС"/>
      <sheetName val="ОАО &quot;Актив&quot;"/>
      <sheetName val="Налоги"/>
      <sheetName val="Приб"/>
      <sheetName val="Потоки"/>
      <sheetName val="NPV"/>
      <sheetName val="Анализ"/>
      <sheetName val="Чувств"/>
      <sheetName val="Графики"/>
      <sheetName val="Коэфф"/>
      <sheetName val="Обор_кап"/>
      <sheetName val="Источн"/>
      <sheetName val="Залоги"/>
    </sheetNames>
    <sheetDataSet>
      <sheetData sheetId="0"/>
      <sheetData sheetId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Фин. пок-ли"/>
      <sheetName val="Перем. затраты"/>
      <sheetName val="Пост.затраты"/>
      <sheetName val="Затр. на произ-во"/>
      <sheetName val="Анализ себест-ти"/>
      <sheetName val="Анализ с-ст-ти"/>
      <sheetName val="Вспом.расчеты"/>
      <sheetName val="План производства"/>
      <sheetName val="План сбыта"/>
      <sheetName val="График 2004 год"/>
      <sheetName val="График 2005 год"/>
      <sheetName val="Баланс прибылей"/>
      <sheetName val="cash-flow"/>
      <sheetName val="Форма №1"/>
      <sheetName val="Форма №2"/>
      <sheetName val="Форма №3"/>
      <sheetName val="Врем.смета"/>
      <sheetName val="Приобретение О.С."/>
      <sheetName val="Лизинг"/>
      <sheetName val="Кредит БРК"/>
      <sheetName val="Кредит СЗБ (А-Ф)"/>
      <sheetName val="Кредит доп"/>
      <sheetName val="Кредит А-Ф"/>
      <sheetName val="Шт.расп.Блоки"/>
      <sheetName val="Шт.расп.АУП"/>
      <sheetName val="Шт.расп.Вспом.персонал"/>
      <sheetName val="Сводное штатное расписание"/>
      <sheetName val="Шт.расп.Армир.эл."/>
    </sheetNames>
    <sheetDataSet>
      <sheetData sheetId="0" refreshError="1"/>
      <sheetData sheetId="1" refreshError="1">
        <row r="3">
          <cell r="K3">
            <v>126620</v>
          </cell>
        </row>
        <row r="45">
          <cell r="P45">
            <v>150</v>
          </cell>
        </row>
        <row r="46">
          <cell r="P46">
            <v>919</v>
          </cell>
        </row>
        <row r="47">
          <cell r="P47">
            <v>0.15</v>
          </cell>
        </row>
        <row r="48">
          <cell r="P48">
            <v>0.16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3">
          <cell r="F3">
            <v>0.87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Главн"/>
      <sheetName val="Пояснения"/>
      <sheetName val="Эффективность"/>
      <sheetName val="Рас.эффект"/>
      <sheetName val="№ 2 Товар.выпуск"/>
      <sheetName val="№ 3 Реализация"/>
      <sheetName val="Доходы"/>
      <sheetName val="Себест реал"/>
      <sheetName val="Cash"/>
      <sheetName val="CF"/>
      <sheetName val="P&amp;L"/>
      <sheetName val="Кредиты"/>
      <sheetName val="Кредиты 2"/>
      <sheetName val="Кредиты 3"/>
      <sheetName val="№ 1 Произв.прогр"/>
      <sheetName val="Произв.мощн"/>
      <sheetName val="График работ"/>
      <sheetName val="Invest"/>
      <sheetName val="Лист1"/>
      <sheetName val="Граф кап инвестиц"/>
      <sheetName val="Граф произв инвестиц"/>
      <sheetName val="Амортиз"/>
      <sheetName val="Спр.мат"/>
      <sheetName val="Материалы"/>
      <sheetName val="№ 4 Материалы полн"/>
      <sheetName val="Материалы по ассорт"/>
      <sheetName val="Упаковка"/>
      <sheetName val="№ 4-1 Мат 0,5 ЗС"/>
      <sheetName val="№ 4-2 Мат 0,7 ЗС"/>
      <sheetName val="№ 4-3 Мат 0,5 обл"/>
      <sheetName val="№ 4-4 Мат 0,5 ст"/>
      <sheetName val="№ 4-5 Мат 0,5 ст шелкогр"/>
      <sheetName val="Мат 6"/>
      <sheetName val="Мат 7"/>
      <sheetName val="Мат 8"/>
      <sheetName val="Мат 9"/>
      <sheetName val="Мат 10"/>
      <sheetName val="Мат 11"/>
      <sheetName val="Мат 12"/>
      <sheetName val="Мат 13"/>
      <sheetName val="Мат 14"/>
      <sheetName val="Мат Тов-15"/>
      <sheetName val="Мат Тов-16"/>
      <sheetName val="Мат Тов-17"/>
      <sheetName val="Мат Тов-18"/>
      <sheetName val="Мат Тов-19"/>
      <sheetName val="Мат Тов-20"/>
      <sheetName val="№ 5 Энерго"/>
      <sheetName val="Персонал"/>
      <sheetName val="Налоги"/>
      <sheetName val="№ 6-1 Свод затрат без НДС"/>
      <sheetName val="№ 6-2 Свод затрат с НДС"/>
      <sheetName val="№ 7 КАЛЬКУЛ 1-2"/>
      <sheetName val="№ 7 КАЛЬКУЛ 3-4"/>
      <sheetName val="КАЛЬКУЛ 5"/>
      <sheetName val="Затраты по месяцам"/>
      <sheetName val="Нал на трансп"/>
      <sheetName val="Ставки соц"/>
      <sheetName val="Ставки под.физ"/>
      <sheetName val="ГСМ"/>
      <sheetName val="График"/>
    </sheetNames>
    <sheetDataSet>
      <sheetData sheetId="0" refreshError="1">
        <row r="2">
          <cell r="C2" t="str">
            <v>Участники  Производство стеклотары</v>
          </cell>
        </row>
        <row r="7">
          <cell r="C7" t="str">
            <v>Участники</v>
          </cell>
        </row>
        <row r="8">
          <cell r="C8" t="str">
            <v>Банк Казахстан</v>
          </cell>
        </row>
        <row r="9">
          <cell r="C9" t="str">
            <v>Банк Иностранный</v>
          </cell>
        </row>
        <row r="10">
          <cell r="C10" t="str">
            <v>Банк Иностранный2</v>
          </cell>
        </row>
        <row r="19">
          <cell r="C19" t="str">
            <v>EUR</v>
          </cell>
        </row>
        <row r="21">
          <cell r="C21" t="str">
            <v>EUR</v>
          </cell>
        </row>
        <row r="31">
          <cell r="C31">
            <v>169</v>
          </cell>
        </row>
        <row r="35">
          <cell r="C35">
            <v>0</v>
          </cell>
        </row>
        <row r="41">
          <cell r="D41">
            <v>1</v>
          </cell>
          <cell r="E41">
            <v>1</v>
          </cell>
          <cell r="F41">
            <v>1</v>
          </cell>
          <cell r="G41">
            <v>1</v>
          </cell>
          <cell r="H41">
            <v>1</v>
          </cell>
        </row>
        <row r="42">
          <cell r="D42">
            <v>0.14000000000000001</v>
          </cell>
          <cell r="E42">
            <v>0.14000000000000001</v>
          </cell>
          <cell r="F42">
            <v>0.14000000000000001</v>
          </cell>
          <cell r="G42">
            <v>0.14000000000000001</v>
          </cell>
          <cell r="H42">
            <v>0.14000000000000001</v>
          </cell>
          <cell r="I42">
            <v>0.12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0.01</v>
          </cell>
          <cell r="J44">
            <v>0.01</v>
          </cell>
          <cell r="K44">
            <v>0.01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0.3</v>
          </cell>
          <cell r="J46">
            <v>0.3</v>
          </cell>
          <cell r="K46">
            <v>0.3</v>
          </cell>
        </row>
        <row r="48">
          <cell r="D48">
            <v>0.18</v>
          </cell>
          <cell r="E48">
            <v>0.18</v>
          </cell>
          <cell r="F48">
            <v>0.18</v>
          </cell>
          <cell r="G48">
            <v>0.18</v>
          </cell>
          <cell r="H48">
            <v>0.18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9">
          <cell r="C9" t="str">
            <v>Земля</v>
          </cell>
          <cell r="H9">
            <v>320359.28143712576</v>
          </cell>
          <cell r="I9" t="str">
            <v>1,7</v>
          </cell>
          <cell r="L9">
            <v>0</v>
          </cell>
          <cell r="P9">
            <v>0</v>
          </cell>
          <cell r="T9">
            <v>0</v>
          </cell>
        </row>
        <row r="10">
          <cell r="C10" t="str">
            <v>Прочие</v>
          </cell>
          <cell r="H10">
            <v>1430167.4321260366</v>
          </cell>
          <cell r="I10" t="str">
            <v>1,8</v>
          </cell>
          <cell r="L10">
            <v>0</v>
          </cell>
          <cell r="P10">
            <v>286781.17998506344</v>
          </cell>
          <cell r="Q10" t="str">
            <v>1,9</v>
          </cell>
          <cell r="T10">
            <v>0</v>
          </cell>
        </row>
        <row r="11">
          <cell r="H11">
            <v>0</v>
          </cell>
          <cell r="L11">
            <v>0</v>
          </cell>
          <cell r="P11">
            <v>0</v>
          </cell>
          <cell r="T11">
            <v>0</v>
          </cell>
        </row>
        <row r="14">
          <cell r="C14" t="str">
            <v>Производственное оборудование</v>
          </cell>
          <cell r="H14">
            <v>0</v>
          </cell>
          <cell r="L14">
            <v>0</v>
          </cell>
          <cell r="P14">
            <v>36711270</v>
          </cell>
          <cell r="Q14" t="str">
            <v>1,8</v>
          </cell>
          <cell r="T14">
            <v>0</v>
          </cell>
          <cell r="U14" t="str">
            <v>1,1</v>
          </cell>
        </row>
        <row r="15">
          <cell r="C15" t="str">
            <v>Производственное оборудование</v>
          </cell>
          <cell r="H15">
            <v>0</v>
          </cell>
          <cell r="L15">
            <v>0</v>
          </cell>
          <cell r="P15">
            <v>3812038.8349514562</v>
          </cell>
          <cell r="Q15" t="str">
            <v>1,8</v>
          </cell>
          <cell r="T15">
            <v>0</v>
          </cell>
        </row>
        <row r="16">
          <cell r="C16" t="str">
            <v>Производственное оборудование</v>
          </cell>
          <cell r="H16">
            <v>0</v>
          </cell>
          <cell r="L16">
            <v>0</v>
          </cell>
          <cell r="P16">
            <v>823002.24047796871</v>
          </cell>
          <cell r="Q16" t="str">
            <v>1,8</v>
          </cell>
          <cell r="T16">
            <v>0</v>
          </cell>
        </row>
        <row r="17">
          <cell r="C17" t="str">
            <v>Производственное оборудование</v>
          </cell>
          <cell r="H17">
            <v>0</v>
          </cell>
          <cell r="L17">
            <v>0</v>
          </cell>
          <cell r="P17">
            <v>900000</v>
          </cell>
          <cell r="Q17" t="str">
            <v>1,8</v>
          </cell>
          <cell r="T17">
            <v>0</v>
          </cell>
        </row>
        <row r="18">
          <cell r="C18" t="str">
            <v>Прочие</v>
          </cell>
          <cell r="H18">
            <v>0</v>
          </cell>
          <cell r="L18">
            <v>0</v>
          </cell>
          <cell r="P18">
            <v>1060000</v>
          </cell>
          <cell r="Q18" t="str">
            <v>1,8</v>
          </cell>
          <cell r="T18">
            <v>0</v>
          </cell>
        </row>
        <row r="19">
          <cell r="C19" t="str">
            <v>Прочие</v>
          </cell>
          <cell r="H19">
            <v>0</v>
          </cell>
          <cell r="L19">
            <v>0</v>
          </cell>
          <cell r="P19">
            <v>1320000</v>
          </cell>
          <cell r="Q19" t="str">
            <v>1,8</v>
          </cell>
          <cell r="T19">
            <v>0</v>
          </cell>
        </row>
        <row r="20">
          <cell r="C20" t="str">
            <v>Прочие</v>
          </cell>
          <cell r="H20">
            <v>1170104.3400000001</v>
          </cell>
          <cell r="I20" t="str">
            <v>2,5</v>
          </cell>
          <cell r="L20">
            <v>0</v>
          </cell>
          <cell r="P20">
            <v>815434.58215568983</v>
          </cell>
          <cell r="Q20" t="str">
            <v>2,5</v>
          </cell>
          <cell r="T20">
            <v>0</v>
          </cell>
        </row>
        <row r="21">
          <cell r="C21" t="str">
            <v xml:space="preserve">Прочее оборудование </v>
          </cell>
          <cell r="H21">
            <v>410754.2942494399</v>
          </cell>
          <cell r="I21" t="str">
            <v>1,9</v>
          </cell>
          <cell r="L21">
            <v>0</v>
          </cell>
          <cell r="P21">
            <v>0</v>
          </cell>
          <cell r="T21">
            <v>0</v>
          </cell>
        </row>
        <row r="22">
          <cell r="C22" t="str">
            <v xml:space="preserve">Прочее оборудование </v>
          </cell>
          <cell r="H22">
            <v>0</v>
          </cell>
          <cell r="L22">
            <v>389614.3426779898</v>
          </cell>
          <cell r="M22" t="str">
            <v>1,12</v>
          </cell>
          <cell r="P22">
            <v>0</v>
          </cell>
          <cell r="T22">
            <v>0</v>
          </cell>
        </row>
        <row r="23">
          <cell r="H23">
            <v>0</v>
          </cell>
          <cell r="L23">
            <v>0</v>
          </cell>
          <cell r="P23">
            <v>0</v>
          </cell>
          <cell r="T23">
            <v>0</v>
          </cell>
        </row>
        <row r="24">
          <cell r="H24">
            <v>0</v>
          </cell>
          <cell r="L24">
            <v>0</v>
          </cell>
          <cell r="P24">
            <v>0</v>
          </cell>
          <cell r="T24">
            <v>0</v>
          </cell>
        </row>
        <row r="25">
          <cell r="H25">
            <v>0</v>
          </cell>
          <cell r="L25">
            <v>0</v>
          </cell>
          <cell r="P25">
            <v>0</v>
          </cell>
          <cell r="T25">
            <v>0</v>
          </cell>
        </row>
        <row r="26">
          <cell r="H26">
            <v>0</v>
          </cell>
          <cell r="L26">
            <v>0</v>
          </cell>
          <cell r="P26">
            <v>0</v>
          </cell>
          <cell r="T26">
            <v>0</v>
          </cell>
        </row>
        <row r="27">
          <cell r="H27">
            <v>0</v>
          </cell>
          <cell r="L27">
            <v>0</v>
          </cell>
          <cell r="P27">
            <v>0</v>
          </cell>
          <cell r="T27">
            <v>0</v>
          </cell>
        </row>
        <row r="28">
          <cell r="H28">
            <v>0</v>
          </cell>
          <cell r="L28">
            <v>0</v>
          </cell>
          <cell r="P28">
            <v>0</v>
          </cell>
          <cell r="T28">
            <v>0</v>
          </cell>
        </row>
        <row r="29">
          <cell r="H29">
            <v>0</v>
          </cell>
          <cell r="L29">
            <v>0</v>
          </cell>
          <cell r="P29">
            <v>0</v>
          </cell>
          <cell r="T29">
            <v>0</v>
          </cell>
        </row>
        <row r="30">
          <cell r="H30">
            <v>0</v>
          </cell>
          <cell r="L30">
            <v>0</v>
          </cell>
          <cell r="P30">
            <v>0</v>
          </cell>
          <cell r="T30">
            <v>0</v>
          </cell>
        </row>
        <row r="31">
          <cell r="H31">
            <v>0</v>
          </cell>
          <cell r="L31">
            <v>0</v>
          </cell>
          <cell r="P31">
            <v>0</v>
          </cell>
          <cell r="T31">
            <v>0</v>
          </cell>
        </row>
        <row r="32">
          <cell r="H32">
            <v>0</v>
          </cell>
          <cell r="L32">
            <v>0</v>
          </cell>
          <cell r="P32">
            <v>0</v>
          </cell>
          <cell r="T32">
            <v>0</v>
          </cell>
        </row>
        <row r="33">
          <cell r="H33">
            <v>1580858.6342494399</v>
          </cell>
          <cell r="L33">
            <v>389614.3426779898</v>
          </cell>
          <cell r="P33">
            <v>45441745.657585114</v>
          </cell>
          <cell r="T33">
            <v>0</v>
          </cell>
        </row>
        <row r="36">
          <cell r="H36">
            <v>0</v>
          </cell>
          <cell r="L36">
            <v>0</v>
          </cell>
          <cell r="P36">
            <v>0</v>
          </cell>
          <cell r="T36">
            <v>0</v>
          </cell>
        </row>
        <row r="37">
          <cell r="C37" t="str">
            <v>Прочие</v>
          </cell>
          <cell r="H37">
            <v>0</v>
          </cell>
          <cell r="L37">
            <v>173652.69461077845</v>
          </cell>
          <cell r="M37" t="str">
            <v>1,8</v>
          </cell>
          <cell r="P37">
            <v>0</v>
          </cell>
          <cell r="T37">
            <v>0</v>
          </cell>
        </row>
        <row r="38">
          <cell r="C38" t="str">
            <v>Здания, сооружения</v>
          </cell>
          <cell r="H38">
            <v>0</v>
          </cell>
          <cell r="L38">
            <v>0</v>
          </cell>
          <cell r="P38">
            <v>2673637.0425690813</v>
          </cell>
          <cell r="Q38" t="str">
            <v>1,9</v>
          </cell>
          <cell r="T38">
            <v>0</v>
          </cell>
        </row>
        <row r="39">
          <cell r="C39" t="str">
            <v>Здания, сооружения</v>
          </cell>
          <cell r="H39">
            <v>0</v>
          </cell>
          <cell r="L39">
            <v>0</v>
          </cell>
          <cell r="P39">
            <v>1784914.1150112024</v>
          </cell>
          <cell r="Q39" t="str">
            <v>1,9</v>
          </cell>
          <cell r="T39">
            <v>0</v>
          </cell>
        </row>
        <row r="40">
          <cell r="C40" t="str">
            <v>Здания, сооружения</v>
          </cell>
          <cell r="H40">
            <v>0</v>
          </cell>
          <cell r="L40">
            <v>0</v>
          </cell>
          <cell r="P40">
            <v>1045556.3853622107</v>
          </cell>
          <cell r="Q40" t="str">
            <v>1,11</v>
          </cell>
          <cell r="T40">
            <v>0</v>
          </cell>
        </row>
        <row r="41">
          <cell r="C41" t="str">
            <v>Здания, сооружения</v>
          </cell>
          <cell r="H41">
            <v>0</v>
          </cell>
          <cell r="L41">
            <v>0</v>
          </cell>
          <cell r="P41">
            <v>298730.39581777446</v>
          </cell>
          <cell r="Q41" t="str">
            <v>1,11</v>
          </cell>
          <cell r="T41">
            <v>0</v>
          </cell>
        </row>
        <row r="42">
          <cell r="C42" t="str">
            <v>Здания, сооружения</v>
          </cell>
          <cell r="H42">
            <v>0</v>
          </cell>
          <cell r="L42">
            <v>0</v>
          </cell>
          <cell r="P42">
            <v>291262.13592233008</v>
          </cell>
          <cell r="Q42" t="str">
            <v>1,12</v>
          </cell>
          <cell r="T42">
            <v>0</v>
          </cell>
        </row>
        <row r="43">
          <cell r="C43" t="str">
            <v>Прочие</v>
          </cell>
          <cell r="H43">
            <v>0</v>
          </cell>
          <cell r="L43">
            <v>0</v>
          </cell>
          <cell r="P43">
            <v>377147.12471994024</v>
          </cell>
          <cell r="Q43" t="str">
            <v>1,12</v>
          </cell>
          <cell r="T43">
            <v>0</v>
          </cell>
        </row>
        <row r="44">
          <cell r="C44" t="str">
            <v>Прочие</v>
          </cell>
          <cell r="H44">
            <v>0</v>
          </cell>
          <cell r="L44">
            <v>0</v>
          </cell>
          <cell r="P44">
            <v>1030619.8655713219</v>
          </cell>
          <cell r="Q44" t="str">
            <v>1,12</v>
          </cell>
          <cell r="T44">
            <v>0</v>
          </cell>
        </row>
        <row r="45">
          <cell r="H45">
            <v>0</v>
          </cell>
          <cell r="L45">
            <v>0</v>
          </cell>
          <cell r="P45">
            <v>0</v>
          </cell>
          <cell r="T45">
            <v>0</v>
          </cell>
        </row>
        <row r="46">
          <cell r="C46" t="str">
            <v>Прочие</v>
          </cell>
          <cell r="H46">
            <v>0</v>
          </cell>
          <cell r="L46">
            <v>143712.5748502994</v>
          </cell>
          <cell r="M46" t="str">
            <v>1,8</v>
          </cell>
          <cell r="P46">
            <v>0</v>
          </cell>
          <cell r="T46">
            <v>0</v>
          </cell>
        </row>
        <row r="47">
          <cell r="C47" t="str">
            <v>Прочие</v>
          </cell>
          <cell r="H47">
            <v>0</v>
          </cell>
          <cell r="L47">
            <v>86826.347305389223</v>
          </cell>
          <cell r="M47" t="str">
            <v>1,8</v>
          </cell>
          <cell r="P47">
            <v>0</v>
          </cell>
          <cell r="T47">
            <v>0</v>
          </cell>
        </row>
        <row r="48">
          <cell r="C48" t="str">
            <v>Прочие</v>
          </cell>
          <cell r="H48">
            <v>0</v>
          </cell>
          <cell r="L48">
            <v>543485.02994011971</v>
          </cell>
          <cell r="M48" t="str">
            <v>1,8</v>
          </cell>
          <cell r="P48">
            <v>0</v>
          </cell>
          <cell r="T48">
            <v>0</v>
          </cell>
        </row>
        <row r="49">
          <cell r="C49" t="str">
            <v>Прочие</v>
          </cell>
          <cell r="H49">
            <v>0</v>
          </cell>
          <cell r="L49">
            <v>271742.51497005986</v>
          </cell>
          <cell r="M49" t="str">
            <v>1,8</v>
          </cell>
          <cell r="P49">
            <v>0</v>
          </cell>
          <cell r="T49">
            <v>0</v>
          </cell>
        </row>
        <row r="50">
          <cell r="C50" t="str">
            <v>Прочие</v>
          </cell>
          <cell r="H50">
            <v>0</v>
          </cell>
          <cell r="L50">
            <v>191616.76646706587</v>
          </cell>
          <cell r="M50" t="str">
            <v>1,8</v>
          </cell>
          <cell r="P50">
            <v>0</v>
          </cell>
          <cell r="T50">
            <v>0</v>
          </cell>
        </row>
        <row r="51">
          <cell r="C51" t="str">
            <v>Здания, сооружения</v>
          </cell>
          <cell r="H51">
            <v>0</v>
          </cell>
          <cell r="L51">
            <v>1365269.4610778443</v>
          </cell>
          <cell r="M51" t="str">
            <v>1,8</v>
          </cell>
          <cell r="P51">
            <v>0</v>
          </cell>
          <cell r="T51">
            <v>0</v>
          </cell>
        </row>
        <row r="52">
          <cell r="C52" t="str">
            <v>Здания, сооружения</v>
          </cell>
          <cell r="H52">
            <v>0</v>
          </cell>
          <cell r="L52">
            <v>625748.50299401197</v>
          </cell>
          <cell r="M52" t="str">
            <v>1,8</v>
          </cell>
          <cell r="P52">
            <v>0</v>
          </cell>
          <cell r="T52">
            <v>0</v>
          </cell>
        </row>
        <row r="53">
          <cell r="C53" t="str">
            <v>Здания, сооружения</v>
          </cell>
          <cell r="H53">
            <v>0</v>
          </cell>
          <cell r="L53">
            <v>1221556.8862275449</v>
          </cell>
          <cell r="M53" t="str">
            <v>1,8</v>
          </cell>
          <cell r="P53">
            <v>0</v>
          </cell>
          <cell r="T53">
            <v>0</v>
          </cell>
        </row>
        <row r="54">
          <cell r="C54" t="str">
            <v>Здания, сооружения</v>
          </cell>
          <cell r="H54">
            <v>0</v>
          </cell>
          <cell r="L54">
            <v>140119.76047904193</v>
          </cell>
          <cell r="M54" t="str">
            <v>1,9</v>
          </cell>
          <cell r="P54">
            <v>0</v>
          </cell>
          <cell r="T54">
            <v>0</v>
          </cell>
        </row>
        <row r="55">
          <cell r="C55" t="str">
            <v>Здания, сооружения</v>
          </cell>
          <cell r="H55">
            <v>0</v>
          </cell>
          <cell r="L55">
            <v>140119.76047904193</v>
          </cell>
          <cell r="M55" t="str">
            <v>1,9</v>
          </cell>
          <cell r="P55">
            <v>0</v>
          </cell>
          <cell r="T55">
            <v>0</v>
          </cell>
        </row>
        <row r="56">
          <cell r="C56" t="str">
            <v>Здания, сооружения</v>
          </cell>
          <cell r="H56">
            <v>0</v>
          </cell>
          <cell r="L56">
            <v>1916167.6646706588</v>
          </cell>
          <cell r="M56" t="str">
            <v>1,9</v>
          </cell>
          <cell r="P56">
            <v>0</v>
          </cell>
          <cell r="T56">
            <v>0</v>
          </cell>
        </row>
        <row r="57">
          <cell r="C57" t="str">
            <v>Здания, сооружения</v>
          </cell>
          <cell r="H57">
            <v>0</v>
          </cell>
          <cell r="L57">
            <v>543485.02994011971</v>
          </cell>
          <cell r="M57" t="str">
            <v>1,9</v>
          </cell>
          <cell r="P57">
            <v>0</v>
          </cell>
          <cell r="T57">
            <v>0</v>
          </cell>
        </row>
        <row r="58">
          <cell r="C58" t="str">
            <v>Здания, сооружения</v>
          </cell>
          <cell r="H58">
            <v>0</v>
          </cell>
          <cell r="L58">
            <v>598802.39520958089</v>
          </cell>
          <cell r="M58" t="str">
            <v>2,1</v>
          </cell>
          <cell r="P58">
            <v>0</v>
          </cell>
          <cell r="T58">
            <v>0</v>
          </cell>
        </row>
        <row r="59">
          <cell r="C59" t="str">
            <v>Прочие</v>
          </cell>
          <cell r="H59">
            <v>0</v>
          </cell>
          <cell r="L59">
            <v>0</v>
          </cell>
          <cell r="P59">
            <v>0</v>
          </cell>
          <cell r="T59">
            <v>0</v>
          </cell>
        </row>
        <row r="60">
          <cell r="C60" t="str">
            <v>Прочие</v>
          </cell>
          <cell r="H60">
            <v>0</v>
          </cell>
          <cell r="L60">
            <v>359281.43712574849</v>
          </cell>
          <cell r="M60" t="str">
            <v>1,10</v>
          </cell>
          <cell r="P60">
            <v>0</v>
          </cell>
          <cell r="T60">
            <v>0</v>
          </cell>
        </row>
        <row r="61">
          <cell r="C61" t="str">
            <v>Здания, сооружения</v>
          </cell>
          <cell r="H61">
            <v>0</v>
          </cell>
          <cell r="L61">
            <v>209580.83832335329</v>
          </cell>
          <cell r="M61" t="str">
            <v>2,3</v>
          </cell>
          <cell r="P61">
            <v>0</v>
          </cell>
          <cell r="T61">
            <v>0</v>
          </cell>
        </row>
        <row r="62">
          <cell r="C62" t="str">
            <v>Прочие</v>
          </cell>
          <cell r="H62">
            <v>0</v>
          </cell>
          <cell r="L62">
            <v>21916.167664670658</v>
          </cell>
          <cell r="M62" t="str">
            <v>2,3</v>
          </cell>
          <cell r="P62">
            <v>0</v>
          </cell>
          <cell r="T62">
            <v>0</v>
          </cell>
        </row>
        <row r="63">
          <cell r="C63" t="str">
            <v>Прочие</v>
          </cell>
          <cell r="H63">
            <v>0</v>
          </cell>
          <cell r="L63">
            <v>10958.083832335329</v>
          </cell>
          <cell r="M63" t="str">
            <v>2,3</v>
          </cell>
          <cell r="P63">
            <v>0</v>
          </cell>
          <cell r="T63">
            <v>0</v>
          </cell>
        </row>
        <row r="64">
          <cell r="C64" t="str">
            <v>Прочие</v>
          </cell>
          <cell r="H64">
            <v>0</v>
          </cell>
          <cell r="L64">
            <v>419161.67664670659</v>
          </cell>
          <cell r="M64" t="str">
            <v>2,1</v>
          </cell>
          <cell r="P64">
            <v>0</v>
          </cell>
          <cell r="T64">
            <v>0</v>
          </cell>
        </row>
        <row r="65">
          <cell r="H65">
            <v>0</v>
          </cell>
          <cell r="L65">
            <v>0</v>
          </cell>
          <cell r="P65">
            <v>0</v>
          </cell>
          <cell r="T65">
            <v>0</v>
          </cell>
        </row>
        <row r="66">
          <cell r="C66" t="str">
            <v>Здания, сооружения</v>
          </cell>
          <cell r="H66">
            <v>0</v>
          </cell>
          <cell r="L66">
            <v>802091.11277072446</v>
          </cell>
          <cell r="M66" t="str">
            <v>2,3</v>
          </cell>
          <cell r="P66">
            <v>0</v>
          </cell>
          <cell r="T66">
            <v>0</v>
          </cell>
        </row>
        <row r="67">
          <cell r="C67" t="str">
            <v>Здания, сооружения</v>
          </cell>
          <cell r="H67">
            <v>0</v>
          </cell>
          <cell r="L67">
            <v>11013381</v>
          </cell>
          <cell r="M67" t="str">
            <v>2,5</v>
          </cell>
          <cell r="P67">
            <v>0</v>
          </cell>
          <cell r="T67">
            <v>0</v>
          </cell>
        </row>
        <row r="68">
          <cell r="C68" t="str">
            <v>Здания, сооружения</v>
          </cell>
          <cell r="H68">
            <v>0</v>
          </cell>
          <cell r="L68">
            <v>535474.2345033607</v>
          </cell>
          <cell r="M68" t="str">
            <v>2,3</v>
          </cell>
          <cell r="P68">
            <v>0</v>
          </cell>
          <cell r="T68">
            <v>0</v>
          </cell>
        </row>
        <row r="69">
          <cell r="C69" t="str">
            <v>Здания, сооружения</v>
          </cell>
          <cell r="H69">
            <v>0</v>
          </cell>
          <cell r="L69">
            <v>1143611.6504854369</v>
          </cell>
          <cell r="M69" t="str">
            <v>2,3</v>
          </cell>
          <cell r="P69">
            <v>0</v>
          </cell>
          <cell r="T69">
            <v>0</v>
          </cell>
        </row>
        <row r="70">
          <cell r="C70" t="str">
            <v>Здания, сооружения</v>
          </cell>
          <cell r="H70">
            <v>0</v>
          </cell>
          <cell r="L70">
            <v>113144.13741598208</v>
          </cell>
          <cell r="M70" t="str">
            <v>2,3</v>
          </cell>
          <cell r="P70">
            <v>0</v>
          </cell>
          <cell r="T70">
            <v>0</v>
          </cell>
        </row>
        <row r="71">
          <cell r="C71" t="str">
            <v>Здания, сооружения</v>
          </cell>
          <cell r="H71">
            <v>0</v>
          </cell>
          <cell r="L71">
            <v>627333.83121732634</v>
          </cell>
          <cell r="M71" t="str">
            <v>2,3</v>
          </cell>
          <cell r="P71">
            <v>0</v>
          </cell>
          <cell r="T71">
            <v>0</v>
          </cell>
        </row>
        <row r="72">
          <cell r="C72" t="str">
            <v>Здания, сооружения</v>
          </cell>
          <cell r="H72">
            <v>0</v>
          </cell>
          <cell r="L72">
            <v>309185.95967139659</v>
          </cell>
          <cell r="M72" t="str">
            <v>2,3</v>
          </cell>
          <cell r="P72">
            <v>0</v>
          </cell>
          <cell r="T72">
            <v>0</v>
          </cell>
        </row>
        <row r="73">
          <cell r="C73" t="str">
            <v>Здания, сооружения</v>
          </cell>
          <cell r="H73">
            <v>0</v>
          </cell>
          <cell r="L73">
            <v>89619.118745332336</v>
          </cell>
          <cell r="M73" t="str">
            <v>2,3</v>
          </cell>
          <cell r="P73">
            <v>0</v>
          </cell>
          <cell r="T73">
            <v>0</v>
          </cell>
        </row>
        <row r="74">
          <cell r="C74" t="str">
            <v>Прочие</v>
          </cell>
          <cell r="H74">
            <v>0</v>
          </cell>
          <cell r="L74">
            <v>51800</v>
          </cell>
          <cell r="M74" t="str">
            <v>2,3</v>
          </cell>
          <cell r="P74">
            <v>0</v>
          </cell>
          <cell r="T74">
            <v>0</v>
          </cell>
        </row>
        <row r="75">
          <cell r="C75" t="str">
            <v>Здания, сооружения</v>
          </cell>
          <cell r="H75">
            <v>0</v>
          </cell>
          <cell r="L75">
            <v>87378.640776699031</v>
          </cell>
          <cell r="M75" t="str">
            <v>2,3</v>
          </cell>
          <cell r="P75">
            <v>0</v>
          </cell>
          <cell r="T75">
            <v>0</v>
          </cell>
        </row>
        <row r="76">
          <cell r="C76" t="str">
            <v>Производственное оборудование</v>
          </cell>
          <cell r="H76">
            <v>0</v>
          </cell>
          <cell r="L76">
            <v>246900.67214339061</v>
          </cell>
          <cell r="M76" t="str">
            <v>2,3</v>
          </cell>
          <cell r="P76">
            <v>0</v>
          </cell>
          <cell r="T76">
            <v>0</v>
          </cell>
        </row>
        <row r="77">
          <cell r="C77" t="str">
            <v>Прочие</v>
          </cell>
          <cell r="H77">
            <v>0</v>
          </cell>
          <cell r="L77">
            <v>50410.75429424944</v>
          </cell>
          <cell r="M77" t="str">
            <v>2,3</v>
          </cell>
          <cell r="P77">
            <v>0</v>
          </cell>
          <cell r="T77">
            <v>0</v>
          </cell>
        </row>
        <row r="78">
          <cell r="C78" t="str">
            <v xml:space="preserve">Прочее оборудование </v>
          </cell>
          <cell r="H78">
            <v>0</v>
          </cell>
          <cell r="L78">
            <v>47904.191616766468</v>
          </cell>
          <cell r="M78" t="str">
            <v>2,3</v>
          </cell>
          <cell r="P78">
            <v>0</v>
          </cell>
          <cell r="T78">
            <v>0</v>
          </cell>
        </row>
        <row r="79">
          <cell r="C79" t="str">
            <v xml:space="preserve">Прочее оборудование </v>
          </cell>
          <cell r="H79">
            <v>0</v>
          </cell>
          <cell r="L79">
            <v>26946.107784431137</v>
          </cell>
          <cell r="M79" t="str">
            <v>2,3</v>
          </cell>
          <cell r="P79">
            <v>0</v>
          </cell>
          <cell r="T79">
            <v>0</v>
          </cell>
        </row>
        <row r="80">
          <cell r="C80" t="str">
            <v xml:space="preserve">Прочее оборудование </v>
          </cell>
          <cell r="H80">
            <v>0</v>
          </cell>
          <cell r="L80">
            <v>114970.05988023953</v>
          </cell>
          <cell r="M80" t="str">
            <v>2,3</v>
          </cell>
          <cell r="P80">
            <v>0</v>
          </cell>
          <cell r="T80">
            <v>0</v>
          </cell>
        </row>
        <row r="81">
          <cell r="H81">
            <v>0</v>
          </cell>
          <cell r="L81">
            <v>0</v>
          </cell>
          <cell r="P81">
            <v>0</v>
          </cell>
          <cell r="T81">
            <v>0</v>
          </cell>
        </row>
        <row r="82">
          <cell r="H82">
            <v>0</v>
          </cell>
          <cell r="L82">
            <v>0</v>
          </cell>
          <cell r="P82">
            <v>0</v>
          </cell>
          <cell r="T82">
            <v>0</v>
          </cell>
        </row>
        <row r="83">
          <cell r="H83">
            <v>0</v>
          </cell>
          <cell r="L83">
            <v>0</v>
          </cell>
          <cell r="P83">
            <v>0</v>
          </cell>
          <cell r="T83">
            <v>0</v>
          </cell>
        </row>
        <row r="84">
          <cell r="H84">
            <v>0</v>
          </cell>
          <cell r="L84">
            <v>0</v>
          </cell>
          <cell r="P84">
            <v>0</v>
          </cell>
          <cell r="T84">
            <v>0</v>
          </cell>
        </row>
        <row r="85">
          <cell r="H85">
            <v>0</v>
          </cell>
          <cell r="L85">
            <v>0</v>
          </cell>
          <cell r="P85">
            <v>0</v>
          </cell>
          <cell r="T85">
            <v>0</v>
          </cell>
        </row>
        <row r="86">
          <cell r="H86">
            <v>0</v>
          </cell>
          <cell r="L86">
            <v>0</v>
          </cell>
          <cell r="P86">
            <v>0</v>
          </cell>
          <cell r="T86">
            <v>0</v>
          </cell>
        </row>
        <row r="87">
          <cell r="H87">
            <v>0</v>
          </cell>
          <cell r="L87">
            <v>0</v>
          </cell>
          <cell r="P87">
            <v>0</v>
          </cell>
          <cell r="T87">
            <v>0</v>
          </cell>
        </row>
        <row r="88">
          <cell r="H88">
            <v>0</v>
          </cell>
          <cell r="L88">
            <v>0</v>
          </cell>
          <cell r="P88">
            <v>0</v>
          </cell>
          <cell r="T88">
            <v>0</v>
          </cell>
        </row>
        <row r="89">
          <cell r="H89">
            <v>0</v>
          </cell>
          <cell r="L89">
            <v>0</v>
          </cell>
          <cell r="P89">
            <v>0</v>
          </cell>
          <cell r="T89">
            <v>0</v>
          </cell>
        </row>
        <row r="90">
          <cell r="H90">
            <v>0</v>
          </cell>
          <cell r="L90">
            <v>0</v>
          </cell>
          <cell r="P90">
            <v>0</v>
          </cell>
          <cell r="T90">
            <v>0</v>
          </cell>
        </row>
        <row r="91">
          <cell r="H91">
            <v>0</v>
          </cell>
          <cell r="L91">
            <v>0</v>
          </cell>
          <cell r="P91">
            <v>0</v>
          </cell>
          <cell r="T91">
            <v>0</v>
          </cell>
        </row>
        <row r="92">
          <cell r="H92">
            <v>0</v>
          </cell>
          <cell r="L92">
            <v>24243355.064119708</v>
          </cell>
          <cell r="P92">
            <v>7501867.064973861</v>
          </cell>
          <cell r="T92">
            <v>0</v>
          </cell>
        </row>
        <row r="95">
          <cell r="C95" t="str">
            <v>Прочие</v>
          </cell>
          <cell r="H95">
            <v>0</v>
          </cell>
          <cell r="L95">
            <v>713218.8200149365</v>
          </cell>
          <cell r="M95" t="str">
            <v>1,12</v>
          </cell>
          <cell r="P95">
            <v>0</v>
          </cell>
          <cell r="T95">
            <v>0</v>
          </cell>
        </row>
        <row r="96">
          <cell r="C96" t="str">
            <v>Прочие</v>
          </cell>
          <cell r="H96">
            <v>0</v>
          </cell>
          <cell r="L96">
            <v>215085.884988798</v>
          </cell>
          <cell r="M96" t="str">
            <v>2,1</v>
          </cell>
          <cell r="P96">
            <v>0</v>
          </cell>
          <cell r="T96">
            <v>0</v>
          </cell>
        </row>
        <row r="97">
          <cell r="C97" t="str">
            <v>Прочие</v>
          </cell>
          <cell r="H97">
            <v>0</v>
          </cell>
          <cell r="L97">
            <v>62733.383121732601</v>
          </cell>
          <cell r="M97" t="str">
            <v>1,8</v>
          </cell>
          <cell r="P97">
            <v>0</v>
          </cell>
          <cell r="T97">
            <v>0</v>
          </cell>
        </row>
        <row r="98">
          <cell r="C98" t="str">
            <v>Прочие</v>
          </cell>
          <cell r="H98">
            <v>0</v>
          </cell>
          <cell r="L98">
            <v>30246.452576549698</v>
          </cell>
          <cell r="M98" t="str">
            <v>1,8</v>
          </cell>
          <cell r="P98">
            <v>0</v>
          </cell>
          <cell r="T98">
            <v>0</v>
          </cell>
        </row>
        <row r="99">
          <cell r="C99" t="str">
            <v>Прочие</v>
          </cell>
          <cell r="H99">
            <v>0</v>
          </cell>
          <cell r="L99">
            <v>504107.54294249439</v>
          </cell>
          <cell r="M99" t="str">
            <v>1,9</v>
          </cell>
          <cell r="P99">
            <v>0</v>
          </cell>
          <cell r="T99">
            <v>0</v>
          </cell>
        </row>
        <row r="100">
          <cell r="C100" t="str">
            <v>Прочие</v>
          </cell>
          <cell r="H100">
            <v>138909.63405526499</v>
          </cell>
          <cell r="I100" t="str">
            <v>1,8</v>
          </cell>
          <cell r="L100">
            <v>0</v>
          </cell>
          <cell r="P100">
            <v>0</v>
          </cell>
          <cell r="T100">
            <v>0</v>
          </cell>
        </row>
        <row r="101">
          <cell r="C101" t="str">
            <v>Прочие</v>
          </cell>
          <cell r="H101">
            <v>38922.155688622799</v>
          </cell>
          <cell r="I101" t="str">
            <v>1,8</v>
          </cell>
          <cell r="L101">
            <v>0</v>
          </cell>
          <cell r="P101">
            <v>0</v>
          </cell>
          <cell r="T101">
            <v>0</v>
          </cell>
        </row>
        <row r="102">
          <cell r="C102" t="str">
            <v>Прочие</v>
          </cell>
          <cell r="H102">
            <v>0</v>
          </cell>
          <cell r="L102">
            <v>151988.55507868383</v>
          </cell>
          <cell r="M102" t="str">
            <v>1,12</v>
          </cell>
          <cell r="P102">
            <v>0</v>
          </cell>
          <cell r="T102">
            <v>0</v>
          </cell>
        </row>
        <row r="103">
          <cell r="C103" t="str">
            <v>Прочие</v>
          </cell>
          <cell r="H103">
            <v>0</v>
          </cell>
          <cell r="L103">
            <v>518000</v>
          </cell>
          <cell r="M103" t="str">
            <v>2,1</v>
          </cell>
          <cell r="P103">
            <v>0</v>
          </cell>
          <cell r="T103">
            <v>0</v>
          </cell>
        </row>
        <row r="104">
          <cell r="H104">
            <v>0</v>
          </cell>
          <cell r="L104">
            <v>0</v>
          </cell>
          <cell r="P104">
            <v>0</v>
          </cell>
          <cell r="T104">
            <v>0</v>
          </cell>
        </row>
        <row r="105">
          <cell r="H105">
            <v>0</v>
          </cell>
          <cell r="L105">
            <v>0</v>
          </cell>
          <cell r="P105">
            <v>0</v>
          </cell>
          <cell r="T105">
            <v>0</v>
          </cell>
        </row>
        <row r="106">
          <cell r="H106">
            <v>177831.78974388778</v>
          </cell>
          <cell r="L106">
            <v>2195380.6387231951</v>
          </cell>
          <cell r="P106">
            <v>0</v>
          </cell>
          <cell r="T106">
            <v>0</v>
          </cell>
        </row>
        <row r="108">
          <cell r="H108">
            <v>1758690.4239933277</v>
          </cell>
          <cell r="L108">
            <v>26828350.045520891</v>
          </cell>
          <cell r="P108">
            <v>52943612.722558975</v>
          </cell>
          <cell r="T108">
            <v>0</v>
          </cell>
        </row>
        <row r="112">
          <cell r="H112">
            <v>0</v>
          </cell>
          <cell r="L112">
            <v>0</v>
          </cell>
          <cell r="P112">
            <v>0</v>
          </cell>
          <cell r="T112">
            <v>0</v>
          </cell>
        </row>
        <row r="113">
          <cell r="H113">
            <v>0</v>
          </cell>
          <cell r="L113">
            <v>0</v>
          </cell>
          <cell r="P113">
            <v>0</v>
          </cell>
          <cell r="T113">
            <v>0</v>
          </cell>
        </row>
        <row r="114">
          <cell r="H114">
            <v>0</v>
          </cell>
          <cell r="L114">
            <v>0</v>
          </cell>
          <cell r="P114">
            <v>0</v>
          </cell>
          <cell r="T114">
            <v>0</v>
          </cell>
        </row>
        <row r="115">
          <cell r="H115">
            <v>0</v>
          </cell>
          <cell r="L115">
            <v>0</v>
          </cell>
          <cell r="P115">
            <v>0</v>
          </cell>
          <cell r="T115">
            <v>0</v>
          </cell>
        </row>
        <row r="116">
          <cell r="H116">
            <v>0</v>
          </cell>
          <cell r="L116">
            <v>0</v>
          </cell>
          <cell r="P116">
            <v>0</v>
          </cell>
          <cell r="T116">
            <v>0</v>
          </cell>
        </row>
        <row r="117">
          <cell r="H117">
            <v>0</v>
          </cell>
          <cell r="L117">
            <v>0</v>
          </cell>
          <cell r="P117">
            <v>0</v>
          </cell>
          <cell r="T117">
            <v>0</v>
          </cell>
        </row>
        <row r="118">
          <cell r="H118">
            <v>0</v>
          </cell>
          <cell r="L118">
            <v>0</v>
          </cell>
          <cell r="P118">
            <v>0</v>
          </cell>
          <cell r="T118">
            <v>0</v>
          </cell>
        </row>
        <row r="119">
          <cell r="H119">
            <v>0</v>
          </cell>
          <cell r="L119">
            <v>0</v>
          </cell>
          <cell r="P119">
            <v>0</v>
          </cell>
          <cell r="T119">
            <v>0</v>
          </cell>
        </row>
        <row r="120">
          <cell r="H120">
            <v>0</v>
          </cell>
          <cell r="L120">
            <v>0</v>
          </cell>
          <cell r="P120">
            <v>0</v>
          </cell>
          <cell r="T120">
            <v>0</v>
          </cell>
        </row>
        <row r="121">
          <cell r="H121">
            <v>0</v>
          </cell>
          <cell r="L121">
            <v>0</v>
          </cell>
          <cell r="P121">
            <v>0</v>
          </cell>
          <cell r="T121">
            <v>0</v>
          </cell>
        </row>
        <row r="122">
          <cell r="H122">
            <v>0</v>
          </cell>
          <cell r="L122">
            <v>0</v>
          </cell>
          <cell r="P122">
            <v>0</v>
          </cell>
          <cell r="T122">
            <v>0</v>
          </cell>
        </row>
        <row r="123">
          <cell r="H123">
            <v>0</v>
          </cell>
          <cell r="L123">
            <v>0</v>
          </cell>
          <cell r="P123">
            <v>0</v>
          </cell>
          <cell r="T123">
            <v>0</v>
          </cell>
        </row>
        <row r="124">
          <cell r="H124">
            <v>0</v>
          </cell>
          <cell r="L124">
            <v>0</v>
          </cell>
          <cell r="P124">
            <v>0</v>
          </cell>
          <cell r="T124">
            <v>0</v>
          </cell>
        </row>
        <row r="125">
          <cell r="H125">
            <v>0</v>
          </cell>
          <cell r="L125">
            <v>0</v>
          </cell>
          <cell r="P125">
            <v>0</v>
          </cell>
          <cell r="T125">
            <v>0</v>
          </cell>
        </row>
        <row r="126">
          <cell r="H126">
            <v>0</v>
          </cell>
          <cell r="L126">
            <v>0</v>
          </cell>
          <cell r="P126">
            <v>0</v>
          </cell>
          <cell r="T126">
            <v>0</v>
          </cell>
        </row>
        <row r="127">
          <cell r="H127">
            <v>0</v>
          </cell>
          <cell r="L127">
            <v>0</v>
          </cell>
          <cell r="P127">
            <v>0</v>
          </cell>
          <cell r="T127">
            <v>0</v>
          </cell>
        </row>
        <row r="128">
          <cell r="H128">
            <v>0</v>
          </cell>
          <cell r="L128">
            <v>0</v>
          </cell>
          <cell r="P128">
            <v>0</v>
          </cell>
          <cell r="T128">
            <v>0</v>
          </cell>
        </row>
        <row r="129">
          <cell r="H129">
            <v>0</v>
          </cell>
          <cell r="L129">
            <v>0</v>
          </cell>
          <cell r="P129">
            <v>0</v>
          </cell>
          <cell r="T129">
            <v>0</v>
          </cell>
        </row>
        <row r="130">
          <cell r="H130">
            <v>0</v>
          </cell>
          <cell r="L130">
            <v>0</v>
          </cell>
          <cell r="P130">
            <v>0</v>
          </cell>
          <cell r="T130">
            <v>0</v>
          </cell>
        </row>
        <row r="131">
          <cell r="H131">
            <v>0</v>
          </cell>
          <cell r="L131">
            <v>0</v>
          </cell>
          <cell r="P131">
            <v>0</v>
          </cell>
          <cell r="T131">
            <v>0</v>
          </cell>
        </row>
        <row r="132">
          <cell r="H132">
            <v>0</v>
          </cell>
          <cell r="L132">
            <v>0</v>
          </cell>
          <cell r="P132">
            <v>0</v>
          </cell>
          <cell r="T132">
            <v>0</v>
          </cell>
        </row>
        <row r="133">
          <cell r="H133">
            <v>0</v>
          </cell>
          <cell r="L133">
            <v>0</v>
          </cell>
          <cell r="P133">
            <v>0</v>
          </cell>
          <cell r="T133">
            <v>0</v>
          </cell>
        </row>
        <row r="134">
          <cell r="H134">
            <v>0</v>
          </cell>
          <cell r="L134">
            <v>0</v>
          </cell>
          <cell r="P134">
            <v>0</v>
          </cell>
          <cell r="T134">
            <v>0</v>
          </cell>
        </row>
        <row r="137">
          <cell r="H137">
            <v>0</v>
          </cell>
          <cell r="L137">
            <v>0</v>
          </cell>
          <cell r="P137">
            <v>0</v>
          </cell>
          <cell r="T137">
            <v>0</v>
          </cell>
        </row>
        <row r="138">
          <cell r="H138">
            <v>0</v>
          </cell>
          <cell r="L138">
            <v>0</v>
          </cell>
          <cell r="P138">
            <v>0</v>
          </cell>
          <cell r="T138">
            <v>0</v>
          </cell>
        </row>
        <row r="139">
          <cell r="H139">
            <v>0</v>
          </cell>
          <cell r="L139">
            <v>0</v>
          </cell>
          <cell r="P139">
            <v>0</v>
          </cell>
          <cell r="T139">
            <v>0</v>
          </cell>
        </row>
        <row r="140">
          <cell r="H140">
            <v>0</v>
          </cell>
          <cell r="L140">
            <v>0</v>
          </cell>
          <cell r="P140">
            <v>0</v>
          </cell>
          <cell r="T140">
            <v>0</v>
          </cell>
        </row>
        <row r="141">
          <cell r="H141">
            <v>0</v>
          </cell>
          <cell r="L141">
            <v>0</v>
          </cell>
          <cell r="P141">
            <v>0</v>
          </cell>
          <cell r="T141">
            <v>0</v>
          </cell>
        </row>
        <row r="142">
          <cell r="H142">
            <v>0</v>
          </cell>
          <cell r="L142">
            <v>0</v>
          </cell>
          <cell r="P142">
            <v>0</v>
          </cell>
          <cell r="T142">
            <v>0</v>
          </cell>
        </row>
        <row r="143">
          <cell r="H143">
            <v>0</v>
          </cell>
          <cell r="L143">
            <v>0</v>
          </cell>
          <cell r="P143">
            <v>0</v>
          </cell>
          <cell r="T143">
            <v>0</v>
          </cell>
        </row>
        <row r="144">
          <cell r="H144">
            <v>0</v>
          </cell>
          <cell r="L144">
            <v>0</v>
          </cell>
          <cell r="P144">
            <v>0</v>
          </cell>
          <cell r="T144">
            <v>0</v>
          </cell>
        </row>
        <row r="145">
          <cell r="H145">
            <v>0</v>
          </cell>
          <cell r="L145">
            <v>0</v>
          </cell>
          <cell r="P145">
            <v>0</v>
          </cell>
          <cell r="T145">
            <v>0</v>
          </cell>
        </row>
        <row r="146">
          <cell r="H146">
            <v>0</v>
          </cell>
          <cell r="L146">
            <v>0</v>
          </cell>
          <cell r="P146">
            <v>0</v>
          </cell>
          <cell r="T146">
            <v>0</v>
          </cell>
        </row>
        <row r="147">
          <cell r="H147">
            <v>0</v>
          </cell>
          <cell r="L147">
            <v>0</v>
          </cell>
          <cell r="P147">
            <v>0</v>
          </cell>
          <cell r="T147">
            <v>0</v>
          </cell>
        </row>
        <row r="148">
          <cell r="H148">
            <v>0</v>
          </cell>
          <cell r="L148">
            <v>0</v>
          </cell>
          <cell r="P148">
            <v>0</v>
          </cell>
          <cell r="T148">
            <v>0</v>
          </cell>
        </row>
        <row r="149">
          <cell r="H149">
            <v>0</v>
          </cell>
          <cell r="L149">
            <v>0</v>
          </cell>
          <cell r="P149">
            <v>0</v>
          </cell>
          <cell r="T149">
            <v>0</v>
          </cell>
        </row>
        <row r="150">
          <cell r="H150">
            <v>0</v>
          </cell>
          <cell r="L150">
            <v>0</v>
          </cell>
          <cell r="P150">
            <v>0</v>
          </cell>
          <cell r="T150">
            <v>0</v>
          </cell>
        </row>
        <row r="151">
          <cell r="H151">
            <v>0</v>
          </cell>
          <cell r="L151">
            <v>0</v>
          </cell>
          <cell r="P151">
            <v>0</v>
          </cell>
          <cell r="T151">
            <v>0</v>
          </cell>
        </row>
        <row r="154">
          <cell r="H154">
            <v>0</v>
          </cell>
          <cell r="L154">
            <v>0</v>
          </cell>
          <cell r="P154">
            <v>0</v>
          </cell>
          <cell r="T154">
            <v>0</v>
          </cell>
        </row>
        <row r="155">
          <cell r="H155">
            <v>0</v>
          </cell>
          <cell r="L155">
            <v>0</v>
          </cell>
          <cell r="P155">
            <v>0</v>
          </cell>
          <cell r="T155">
            <v>0</v>
          </cell>
        </row>
        <row r="156">
          <cell r="H156">
            <v>0</v>
          </cell>
          <cell r="L156">
            <v>0</v>
          </cell>
          <cell r="P156">
            <v>0</v>
          </cell>
          <cell r="T156">
            <v>0</v>
          </cell>
        </row>
        <row r="157">
          <cell r="H157">
            <v>0</v>
          </cell>
          <cell r="L157">
            <v>0</v>
          </cell>
          <cell r="P157">
            <v>0</v>
          </cell>
          <cell r="T157">
            <v>0</v>
          </cell>
        </row>
        <row r="158">
          <cell r="H158">
            <v>0</v>
          </cell>
          <cell r="L158">
            <v>0</v>
          </cell>
          <cell r="P158">
            <v>0</v>
          </cell>
          <cell r="T158">
            <v>0</v>
          </cell>
        </row>
        <row r="159">
          <cell r="H159">
            <v>0</v>
          </cell>
          <cell r="L159">
            <v>0</v>
          </cell>
          <cell r="P159">
            <v>0</v>
          </cell>
          <cell r="T159">
            <v>0</v>
          </cell>
        </row>
        <row r="160">
          <cell r="H160">
            <v>0</v>
          </cell>
          <cell r="L160">
            <v>0</v>
          </cell>
          <cell r="P160">
            <v>0</v>
          </cell>
          <cell r="T160">
            <v>0</v>
          </cell>
        </row>
        <row r="161">
          <cell r="H161">
            <v>0</v>
          </cell>
          <cell r="L161">
            <v>0</v>
          </cell>
          <cell r="P161">
            <v>0</v>
          </cell>
          <cell r="T161">
            <v>0</v>
          </cell>
        </row>
        <row r="162">
          <cell r="H162">
            <v>0</v>
          </cell>
          <cell r="L162">
            <v>0</v>
          </cell>
          <cell r="P162">
            <v>0</v>
          </cell>
          <cell r="T162">
            <v>0</v>
          </cell>
        </row>
        <row r="163">
          <cell r="H163">
            <v>0</v>
          </cell>
          <cell r="L163">
            <v>0</v>
          </cell>
          <cell r="P163">
            <v>0</v>
          </cell>
          <cell r="T163">
            <v>0</v>
          </cell>
        </row>
        <row r="164">
          <cell r="H164">
            <v>0</v>
          </cell>
          <cell r="L164">
            <v>0</v>
          </cell>
          <cell r="P164">
            <v>0</v>
          </cell>
          <cell r="T164">
            <v>0</v>
          </cell>
        </row>
        <row r="165">
          <cell r="H165">
            <v>0</v>
          </cell>
          <cell r="L165">
            <v>0</v>
          </cell>
          <cell r="P165">
            <v>0</v>
          </cell>
          <cell r="T165">
            <v>0</v>
          </cell>
        </row>
        <row r="167">
          <cell r="H167">
            <v>0</v>
          </cell>
          <cell r="L167">
            <v>0</v>
          </cell>
          <cell r="P167">
            <v>0</v>
          </cell>
          <cell r="T167">
            <v>0</v>
          </cell>
        </row>
        <row r="171">
          <cell r="H171">
            <v>0</v>
          </cell>
          <cell r="L171">
            <v>0</v>
          </cell>
          <cell r="P171">
            <v>0</v>
          </cell>
          <cell r="T171">
            <v>0</v>
          </cell>
        </row>
        <row r="172">
          <cell r="H172">
            <v>0</v>
          </cell>
          <cell r="L172">
            <v>0</v>
          </cell>
          <cell r="P172">
            <v>0</v>
          </cell>
          <cell r="T172">
            <v>0</v>
          </cell>
        </row>
        <row r="173">
          <cell r="H173">
            <v>0</v>
          </cell>
          <cell r="L173">
            <v>0</v>
          </cell>
          <cell r="P173">
            <v>0</v>
          </cell>
          <cell r="T173">
            <v>0</v>
          </cell>
        </row>
        <row r="174">
          <cell r="H174">
            <v>0</v>
          </cell>
          <cell r="L174">
            <v>0</v>
          </cell>
          <cell r="P174">
            <v>0</v>
          </cell>
          <cell r="T174">
            <v>0</v>
          </cell>
        </row>
        <row r="175">
          <cell r="H175">
            <v>0</v>
          </cell>
          <cell r="L175">
            <v>0</v>
          </cell>
          <cell r="P175">
            <v>0</v>
          </cell>
          <cell r="T175">
            <v>0</v>
          </cell>
        </row>
        <row r="176">
          <cell r="H176">
            <v>0</v>
          </cell>
          <cell r="L176">
            <v>0</v>
          </cell>
          <cell r="P176">
            <v>0</v>
          </cell>
          <cell r="T176">
            <v>0</v>
          </cell>
        </row>
        <row r="177">
          <cell r="H177">
            <v>0</v>
          </cell>
          <cell r="L177">
            <v>0</v>
          </cell>
          <cell r="P177">
            <v>0</v>
          </cell>
          <cell r="T177">
            <v>0</v>
          </cell>
        </row>
        <row r="178">
          <cell r="H178">
            <v>0</v>
          </cell>
          <cell r="L178">
            <v>0</v>
          </cell>
          <cell r="P178">
            <v>0</v>
          </cell>
          <cell r="T178">
            <v>0</v>
          </cell>
        </row>
        <row r="179">
          <cell r="H179">
            <v>0</v>
          </cell>
          <cell r="L179">
            <v>0</v>
          </cell>
          <cell r="P179">
            <v>0</v>
          </cell>
          <cell r="T179">
            <v>0</v>
          </cell>
        </row>
        <row r="180">
          <cell r="H180">
            <v>0</v>
          </cell>
          <cell r="L180">
            <v>0</v>
          </cell>
          <cell r="P180">
            <v>0</v>
          </cell>
          <cell r="T180">
            <v>0</v>
          </cell>
        </row>
        <row r="181">
          <cell r="H181">
            <v>0</v>
          </cell>
          <cell r="L181">
            <v>0</v>
          </cell>
          <cell r="P181">
            <v>0</v>
          </cell>
          <cell r="T181">
            <v>0</v>
          </cell>
        </row>
        <row r="182">
          <cell r="H182">
            <v>0</v>
          </cell>
          <cell r="L182">
            <v>0</v>
          </cell>
          <cell r="P182">
            <v>0</v>
          </cell>
          <cell r="T182">
            <v>0</v>
          </cell>
        </row>
        <row r="183">
          <cell r="H183">
            <v>0</v>
          </cell>
          <cell r="L183">
            <v>0</v>
          </cell>
          <cell r="P183">
            <v>0</v>
          </cell>
          <cell r="T183">
            <v>0</v>
          </cell>
        </row>
        <row r="184">
          <cell r="H184">
            <v>0</v>
          </cell>
          <cell r="L184">
            <v>0</v>
          </cell>
          <cell r="P184">
            <v>0</v>
          </cell>
          <cell r="T184">
            <v>0</v>
          </cell>
        </row>
        <row r="185">
          <cell r="H185">
            <v>0</v>
          </cell>
          <cell r="L185">
            <v>0</v>
          </cell>
          <cell r="P185">
            <v>0</v>
          </cell>
          <cell r="T185">
            <v>0</v>
          </cell>
        </row>
        <row r="186">
          <cell r="H186">
            <v>0</v>
          </cell>
          <cell r="L186">
            <v>0</v>
          </cell>
          <cell r="P186">
            <v>0</v>
          </cell>
          <cell r="T186">
            <v>0</v>
          </cell>
        </row>
        <row r="187">
          <cell r="H187">
            <v>0</v>
          </cell>
          <cell r="L187">
            <v>0</v>
          </cell>
          <cell r="P187">
            <v>0</v>
          </cell>
          <cell r="T187">
            <v>0</v>
          </cell>
        </row>
        <row r="188">
          <cell r="H188">
            <v>0</v>
          </cell>
          <cell r="L188">
            <v>0</v>
          </cell>
          <cell r="P188">
            <v>0</v>
          </cell>
          <cell r="T188">
            <v>0</v>
          </cell>
        </row>
        <row r="189">
          <cell r="H189">
            <v>0</v>
          </cell>
          <cell r="L189">
            <v>0</v>
          </cell>
          <cell r="P189">
            <v>0</v>
          </cell>
          <cell r="T189">
            <v>0</v>
          </cell>
        </row>
        <row r="190">
          <cell r="H190">
            <v>0</v>
          </cell>
          <cell r="L190">
            <v>0</v>
          </cell>
          <cell r="P190">
            <v>0</v>
          </cell>
          <cell r="T190">
            <v>0</v>
          </cell>
        </row>
        <row r="191">
          <cell r="H191">
            <v>0</v>
          </cell>
          <cell r="L191">
            <v>0</v>
          </cell>
          <cell r="P191">
            <v>0</v>
          </cell>
          <cell r="T191">
            <v>0</v>
          </cell>
        </row>
        <row r="192">
          <cell r="H192">
            <v>0</v>
          </cell>
          <cell r="L192">
            <v>0</v>
          </cell>
          <cell r="P192">
            <v>0</v>
          </cell>
          <cell r="T192">
            <v>0</v>
          </cell>
        </row>
        <row r="193">
          <cell r="H193">
            <v>0</v>
          </cell>
          <cell r="L193">
            <v>0</v>
          </cell>
          <cell r="P193">
            <v>0</v>
          </cell>
          <cell r="T193">
            <v>0</v>
          </cell>
        </row>
        <row r="196">
          <cell r="H196">
            <v>0</v>
          </cell>
          <cell r="L196">
            <v>0</v>
          </cell>
          <cell r="P196">
            <v>0</v>
          </cell>
          <cell r="T196">
            <v>0</v>
          </cell>
        </row>
        <row r="197">
          <cell r="H197">
            <v>0</v>
          </cell>
          <cell r="L197">
            <v>0</v>
          </cell>
          <cell r="P197">
            <v>0</v>
          </cell>
          <cell r="T197">
            <v>0</v>
          </cell>
        </row>
        <row r="198">
          <cell r="H198">
            <v>0</v>
          </cell>
          <cell r="L198">
            <v>0</v>
          </cell>
          <cell r="P198">
            <v>0</v>
          </cell>
          <cell r="T198">
            <v>0</v>
          </cell>
        </row>
        <row r="199">
          <cell r="H199">
            <v>0</v>
          </cell>
          <cell r="L199">
            <v>0</v>
          </cell>
          <cell r="P199">
            <v>0</v>
          </cell>
          <cell r="T199">
            <v>0</v>
          </cell>
        </row>
        <row r="200">
          <cell r="H200">
            <v>0</v>
          </cell>
          <cell r="L200">
            <v>0</v>
          </cell>
          <cell r="P200">
            <v>0</v>
          </cell>
          <cell r="T200">
            <v>0</v>
          </cell>
        </row>
        <row r="201">
          <cell r="H201">
            <v>0</v>
          </cell>
          <cell r="L201">
            <v>0</v>
          </cell>
          <cell r="P201">
            <v>0</v>
          </cell>
          <cell r="T201">
            <v>0</v>
          </cell>
        </row>
        <row r="202">
          <cell r="H202">
            <v>0</v>
          </cell>
          <cell r="L202">
            <v>0</v>
          </cell>
          <cell r="P202">
            <v>0</v>
          </cell>
          <cell r="T202">
            <v>0</v>
          </cell>
        </row>
        <row r="203">
          <cell r="H203">
            <v>0</v>
          </cell>
          <cell r="L203">
            <v>0</v>
          </cell>
          <cell r="P203">
            <v>0</v>
          </cell>
          <cell r="T203">
            <v>0</v>
          </cell>
        </row>
        <row r="204">
          <cell r="H204">
            <v>0</v>
          </cell>
          <cell r="L204">
            <v>0</v>
          </cell>
          <cell r="P204">
            <v>0</v>
          </cell>
          <cell r="T204">
            <v>0</v>
          </cell>
        </row>
        <row r="205">
          <cell r="H205">
            <v>0</v>
          </cell>
          <cell r="L205">
            <v>0</v>
          </cell>
          <cell r="P205">
            <v>0</v>
          </cell>
          <cell r="T205">
            <v>0</v>
          </cell>
        </row>
        <row r="206">
          <cell r="H206">
            <v>0</v>
          </cell>
          <cell r="L206">
            <v>0</v>
          </cell>
          <cell r="P206">
            <v>0</v>
          </cell>
          <cell r="T206">
            <v>0</v>
          </cell>
        </row>
        <row r="207">
          <cell r="H207">
            <v>0</v>
          </cell>
          <cell r="L207">
            <v>0</v>
          </cell>
          <cell r="P207">
            <v>0</v>
          </cell>
          <cell r="T207">
            <v>0</v>
          </cell>
        </row>
        <row r="208">
          <cell r="H208">
            <v>0</v>
          </cell>
          <cell r="L208">
            <v>0</v>
          </cell>
          <cell r="P208">
            <v>0</v>
          </cell>
          <cell r="T208">
            <v>0</v>
          </cell>
        </row>
        <row r="209">
          <cell r="H209">
            <v>0</v>
          </cell>
          <cell r="L209">
            <v>0</v>
          </cell>
          <cell r="P209">
            <v>0</v>
          </cell>
          <cell r="T209">
            <v>0</v>
          </cell>
        </row>
        <row r="210">
          <cell r="H210">
            <v>0</v>
          </cell>
          <cell r="L210">
            <v>0</v>
          </cell>
          <cell r="P210">
            <v>0</v>
          </cell>
          <cell r="T210">
            <v>0</v>
          </cell>
        </row>
        <row r="213">
          <cell r="H213">
            <v>0</v>
          </cell>
          <cell r="L213">
            <v>0</v>
          </cell>
          <cell r="P213">
            <v>0</v>
          </cell>
          <cell r="T213">
            <v>0</v>
          </cell>
        </row>
        <row r="214">
          <cell r="H214">
            <v>0</v>
          </cell>
          <cell r="L214">
            <v>0</v>
          </cell>
          <cell r="P214">
            <v>0</v>
          </cell>
          <cell r="T214">
            <v>0</v>
          </cell>
        </row>
        <row r="215">
          <cell r="H215">
            <v>0</v>
          </cell>
          <cell r="L215">
            <v>0</v>
          </cell>
          <cell r="P215">
            <v>0</v>
          </cell>
          <cell r="T215">
            <v>0</v>
          </cell>
        </row>
        <row r="216">
          <cell r="H216">
            <v>0</v>
          </cell>
          <cell r="L216">
            <v>0</v>
          </cell>
          <cell r="P216">
            <v>0</v>
          </cell>
          <cell r="T216">
            <v>0</v>
          </cell>
        </row>
        <row r="217">
          <cell r="H217">
            <v>0</v>
          </cell>
          <cell r="L217">
            <v>0</v>
          </cell>
          <cell r="P217">
            <v>0</v>
          </cell>
          <cell r="T217">
            <v>0</v>
          </cell>
        </row>
        <row r="218">
          <cell r="H218">
            <v>0</v>
          </cell>
          <cell r="L218">
            <v>0</v>
          </cell>
          <cell r="P218">
            <v>0</v>
          </cell>
          <cell r="T218">
            <v>0</v>
          </cell>
        </row>
        <row r="219">
          <cell r="H219">
            <v>0</v>
          </cell>
          <cell r="L219">
            <v>0</v>
          </cell>
          <cell r="P219">
            <v>0</v>
          </cell>
          <cell r="T219">
            <v>0</v>
          </cell>
        </row>
        <row r="220">
          <cell r="H220">
            <v>0</v>
          </cell>
          <cell r="L220">
            <v>0</v>
          </cell>
          <cell r="P220">
            <v>0</v>
          </cell>
          <cell r="T220">
            <v>0</v>
          </cell>
        </row>
        <row r="221">
          <cell r="H221">
            <v>0</v>
          </cell>
          <cell r="L221">
            <v>0</v>
          </cell>
          <cell r="P221">
            <v>0</v>
          </cell>
          <cell r="T221">
            <v>0</v>
          </cell>
        </row>
        <row r="222">
          <cell r="H222">
            <v>0</v>
          </cell>
          <cell r="L222">
            <v>0</v>
          </cell>
          <cell r="P222">
            <v>0</v>
          </cell>
          <cell r="T222">
            <v>0</v>
          </cell>
        </row>
        <row r="223">
          <cell r="H223">
            <v>0</v>
          </cell>
          <cell r="L223">
            <v>0</v>
          </cell>
          <cell r="P223">
            <v>0</v>
          </cell>
          <cell r="T223">
            <v>0</v>
          </cell>
        </row>
        <row r="224">
          <cell r="H224">
            <v>0</v>
          </cell>
          <cell r="L224">
            <v>0</v>
          </cell>
          <cell r="P224">
            <v>0</v>
          </cell>
          <cell r="T224">
            <v>0</v>
          </cell>
        </row>
        <row r="225">
          <cell r="H225">
            <v>0</v>
          </cell>
          <cell r="L225">
            <v>0</v>
          </cell>
          <cell r="P225">
            <v>0</v>
          </cell>
          <cell r="T225">
            <v>0</v>
          </cell>
        </row>
        <row r="226">
          <cell r="H226">
            <v>0</v>
          </cell>
          <cell r="L226">
            <v>0</v>
          </cell>
          <cell r="P226">
            <v>0</v>
          </cell>
          <cell r="T226">
            <v>0</v>
          </cell>
        </row>
        <row r="227">
          <cell r="H227">
            <v>0</v>
          </cell>
          <cell r="L227">
            <v>0</v>
          </cell>
          <cell r="P227">
            <v>0</v>
          </cell>
          <cell r="T227">
            <v>0</v>
          </cell>
        </row>
        <row r="228">
          <cell r="H228">
            <v>0</v>
          </cell>
          <cell r="L228">
            <v>0</v>
          </cell>
          <cell r="P228">
            <v>0</v>
          </cell>
          <cell r="T228">
            <v>0</v>
          </cell>
        </row>
        <row r="229">
          <cell r="H229">
            <v>0</v>
          </cell>
          <cell r="L229">
            <v>0</v>
          </cell>
          <cell r="P229">
            <v>0</v>
          </cell>
          <cell r="T229">
            <v>0</v>
          </cell>
        </row>
        <row r="230">
          <cell r="H230">
            <v>0</v>
          </cell>
          <cell r="L230">
            <v>0</v>
          </cell>
          <cell r="P230">
            <v>0</v>
          </cell>
          <cell r="T230">
            <v>0</v>
          </cell>
        </row>
        <row r="231">
          <cell r="H231">
            <v>0</v>
          </cell>
          <cell r="L231">
            <v>0</v>
          </cell>
          <cell r="P231">
            <v>0</v>
          </cell>
          <cell r="T231">
            <v>0</v>
          </cell>
        </row>
        <row r="232">
          <cell r="H232">
            <v>0</v>
          </cell>
          <cell r="L232">
            <v>0</v>
          </cell>
          <cell r="P232">
            <v>0</v>
          </cell>
          <cell r="T232">
            <v>0</v>
          </cell>
        </row>
        <row r="234">
          <cell r="H234">
            <v>0</v>
          </cell>
          <cell r="L234">
            <v>0</v>
          </cell>
          <cell r="P234">
            <v>0</v>
          </cell>
          <cell r="T234">
            <v>0</v>
          </cell>
        </row>
        <row r="236">
          <cell r="C236" t="str">
            <v>Прочие</v>
          </cell>
          <cell r="L236">
            <v>0</v>
          </cell>
          <cell r="M236" t="str">
            <v>1,8</v>
          </cell>
        </row>
        <row r="237">
          <cell r="C237" t="str">
            <v>Прочие</v>
          </cell>
          <cell r="L237">
            <v>0</v>
          </cell>
          <cell r="M237" t="str">
            <v>1,7</v>
          </cell>
        </row>
        <row r="238">
          <cell r="C238" t="str">
            <v>Прочие</v>
          </cell>
          <cell r="L238">
            <v>0</v>
          </cell>
          <cell r="M238" t="str">
            <v>1,8</v>
          </cell>
        </row>
        <row r="240">
          <cell r="H240">
            <v>3509217.13755649</v>
          </cell>
          <cell r="L240">
            <v>26828350.045520891</v>
          </cell>
          <cell r="P240">
            <v>53230393.902544037</v>
          </cell>
          <cell r="T240">
            <v>0</v>
          </cell>
        </row>
      </sheetData>
      <sheetData sheetId="18" refreshError="1"/>
      <sheetData sheetId="19" refreshError="1">
        <row r="8">
          <cell r="B8" t="str">
            <v>Здания, сооружения</v>
          </cell>
        </row>
        <row r="9">
          <cell r="B9" t="str">
            <v>Производственное оборудование</v>
          </cell>
        </row>
        <row r="10">
          <cell r="B10" t="str">
            <v xml:space="preserve">Прочее оборудование </v>
          </cell>
        </row>
        <row r="11">
          <cell r="B11" t="str">
            <v>Прочие</v>
          </cell>
        </row>
        <row r="12">
          <cell r="B12" t="str">
            <v>Земля</v>
          </cell>
        </row>
      </sheetData>
      <sheetData sheetId="20" refreshError="1"/>
      <sheetData sheetId="21" refreshError="1">
        <row r="125">
          <cell r="F125">
            <v>1252742.881713433</v>
          </cell>
        </row>
      </sheetData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Осн п"/>
      <sheetName val="Исх"/>
      <sheetName val="ФОТ"/>
      <sheetName val="Ф3"/>
      <sheetName val="ф2"/>
      <sheetName val="Баланс"/>
      <sheetName val="Доходы"/>
      <sheetName val="Себестоимость"/>
      <sheetName val="Расх пост"/>
      <sheetName val="кр"/>
      <sheetName val="Инв"/>
      <sheetName val="Безубыт"/>
      <sheetName val="Графики"/>
    </sheetNames>
    <sheetDataSet>
      <sheetData sheetId="0"/>
      <sheetData sheetId="1">
        <row r="5">
          <cell r="C5">
            <v>148</v>
          </cell>
        </row>
        <row r="8">
          <cell r="C8">
            <v>0.12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Осн пар"/>
      <sheetName val="Данные,рентаб"/>
      <sheetName val="Оценка"/>
      <sheetName val="Финпоказатели"/>
      <sheetName val="ЧП"/>
      <sheetName val="IRR NPV"/>
      <sheetName val="Ф3"/>
      <sheetName val="Ф2-баланс"/>
      <sheetName val="КРЕДИТЫ"/>
      <sheetName val="произ.моя"/>
      <sheetName val="обучение мое"/>
      <sheetName val="приобретение мое"/>
      <sheetName val="капит.мое"/>
      <sheetName val="коммун.мое"/>
      <sheetName val="себестоимость моя"/>
      <sheetName val="Лист2"/>
      <sheetName val="налоги"/>
      <sheetName val="ПриобрОС"/>
      <sheetName val="Затр. на про-во"/>
      <sheetName val="Пост.затр"/>
      <sheetName val="Пр-во сбыт"/>
      <sheetName val="Перем. затр"/>
      <sheetName val="штат"/>
      <sheetName val="Врем.смета"/>
    </sheetNames>
    <sheetDataSet>
      <sheetData sheetId="0" refreshError="1"/>
      <sheetData sheetId="1">
        <row r="23">
          <cell r="C23">
            <v>121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Фин. пок-ли"/>
      <sheetName val="Перем. затраты"/>
      <sheetName val="Пост.затраты"/>
      <sheetName val="Затр. на произ-во"/>
      <sheetName val="Анализ себест-ти"/>
      <sheetName val="Анализ с-ст-ти"/>
      <sheetName val="Вспом.расчеты"/>
      <sheetName val="План производства"/>
      <sheetName val="План сбыта"/>
      <sheetName val="График 2006 год"/>
      <sheetName val="График 2007 год"/>
      <sheetName val="Баланс прибылей"/>
      <sheetName val="cash-flow"/>
      <sheetName val="Форма №1"/>
      <sheetName val="Форма №2"/>
      <sheetName val="Врем.смета"/>
      <sheetName val="Форма №3"/>
      <sheetName val="Приобретение О.С."/>
      <sheetName val="Лист1"/>
      <sheetName val="Лизинг"/>
      <sheetName val="Кредит КБ"/>
      <sheetName val="Кредит СЗБ (А-Ф)"/>
      <sheetName val="Кредит доп"/>
      <sheetName val="Кредит доп2"/>
      <sheetName val="Шт.расп.Блоки"/>
      <sheetName val="Шт.расп.АУП"/>
      <sheetName val="Шт.расп.Вспом.персонал"/>
      <sheetName val="Сводное штатное расписание"/>
      <sheetName val="Шт.расп.Армир.эл."/>
    </sheetNames>
    <sheetDataSet>
      <sheetData sheetId="0" refreshError="1"/>
      <sheetData sheetId="1" refreshError="1">
        <row r="45">
          <cell r="P45">
            <v>140</v>
          </cell>
        </row>
        <row r="47">
          <cell r="P47">
            <v>0.15</v>
          </cell>
        </row>
        <row r="48">
          <cell r="P48">
            <v>0.16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Осн п"/>
      <sheetName val="Исх"/>
      <sheetName val="Ф3"/>
      <sheetName val="ф2"/>
      <sheetName val="ф1"/>
      <sheetName val="1 КРС"/>
      <sheetName val="2.1 Том"/>
      <sheetName val="2.2 Огур"/>
      <sheetName val="3 Сх культ"/>
      <sheetName val="4 Хран-е"/>
      <sheetName val="5 Ветр.мел."/>
      <sheetName val="Цены"/>
      <sheetName val="Пост"/>
      <sheetName val="ФОТ"/>
      <sheetName val="кр"/>
      <sheetName val="Инв"/>
      <sheetName val="Безуб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курсы"/>
      <sheetName val="БТА"/>
      <sheetName val="ККБ"/>
      <sheetName val="год"/>
      <sheetName val="деньги"/>
      <sheetName val="объекты общества"/>
      <sheetName val="расторжения"/>
      <sheetName val="констант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2">
          <cell r="F2" t="str">
            <v>4 башни (п1)</v>
          </cell>
          <cell r="G2">
            <v>131000</v>
          </cell>
        </row>
        <row r="3">
          <cell r="F3" t="str">
            <v>4 башни (п2)</v>
          </cell>
          <cell r="G3">
            <v>131700</v>
          </cell>
        </row>
        <row r="4">
          <cell r="F4" t="str">
            <v>VIP</v>
          </cell>
          <cell r="G4">
            <v>69300</v>
          </cell>
        </row>
        <row r="5">
          <cell r="F5" t="str">
            <v>Абая</v>
          </cell>
          <cell r="G5">
            <v>107700</v>
          </cell>
        </row>
        <row r="6">
          <cell r="F6" t="str">
            <v>аблайхана квартиры</v>
          </cell>
          <cell r="G6">
            <v>78000</v>
          </cell>
        </row>
        <row r="7">
          <cell r="F7" t="str">
            <v>алтын-орда квартиры</v>
          </cell>
          <cell r="G7">
            <v>150300</v>
          </cell>
        </row>
        <row r="8">
          <cell r="F8" t="str">
            <v>алтын-орда офисы</v>
          </cell>
          <cell r="G8">
            <v>109400</v>
          </cell>
        </row>
        <row r="9">
          <cell r="F9" t="str">
            <v>бабочка</v>
          </cell>
          <cell r="G9">
            <v>82900</v>
          </cell>
        </row>
        <row r="10">
          <cell r="F10" t="str">
            <v>бараева</v>
          </cell>
          <cell r="G10">
            <v>61000</v>
          </cell>
        </row>
        <row r="11">
          <cell r="F11" t="str">
            <v>бараева2оч</v>
          </cell>
          <cell r="G11">
            <v>100467</v>
          </cell>
        </row>
        <row r="12">
          <cell r="F12" t="str">
            <v>бигельдинова квартиры</v>
          </cell>
          <cell r="G12">
            <v>137700</v>
          </cell>
        </row>
        <row r="13">
          <cell r="F13" t="str">
            <v>бигельдинова офисы</v>
          </cell>
          <cell r="G13">
            <v>162100</v>
          </cell>
        </row>
        <row r="14">
          <cell r="F14" t="str">
            <v>встр.Им.нечет.</v>
          </cell>
          <cell r="G14">
            <v>143400</v>
          </cell>
        </row>
        <row r="15">
          <cell r="A15">
            <v>130</v>
          </cell>
          <cell r="F15" t="str">
            <v>евразия</v>
          </cell>
          <cell r="G15">
            <v>69600</v>
          </cell>
        </row>
        <row r="16">
          <cell r="F16" t="str">
            <v>иманова гаражи</v>
          </cell>
          <cell r="G16">
            <v>38600</v>
          </cell>
        </row>
        <row r="17">
          <cell r="F17" t="str">
            <v>иманова квартиры</v>
          </cell>
          <cell r="G17">
            <v>64000</v>
          </cell>
        </row>
        <row r="18">
          <cell r="F18" t="str">
            <v>иманова коттеджи</v>
          </cell>
          <cell r="G18">
            <v>69200</v>
          </cell>
        </row>
        <row r="19">
          <cell r="F19" t="str">
            <v>Иманова неч. квартиры</v>
          </cell>
          <cell r="G19">
            <v>118200</v>
          </cell>
        </row>
        <row r="20">
          <cell r="F20" t="str">
            <v>иманова офисы</v>
          </cell>
          <cell r="G20">
            <v>77000</v>
          </cell>
        </row>
        <row r="21">
          <cell r="F21" t="str">
            <v>им-респ квартиры</v>
          </cell>
          <cell r="G21">
            <v>80100</v>
          </cell>
        </row>
        <row r="22">
          <cell r="F22" t="str">
            <v>им-респ офисы</v>
          </cell>
          <cell r="G22">
            <v>55000</v>
          </cell>
        </row>
        <row r="23">
          <cell r="F23" t="str">
            <v>кенесары квартиры</v>
          </cell>
          <cell r="G23">
            <v>84500</v>
          </cell>
        </row>
        <row r="24">
          <cell r="F24" t="str">
            <v>кенесары офисы</v>
          </cell>
          <cell r="G24">
            <v>84500</v>
          </cell>
        </row>
        <row r="25">
          <cell r="F25" t="str">
            <v>Набережная</v>
          </cell>
          <cell r="G25">
            <v>81000</v>
          </cell>
        </row>
        <row r="26">
          <cell r="F26" t="str">
            <v>отрар</v>
          </cell>
          <cell r="G26">
            <v>189900</v>
          </cell>
        </row>
        <row r="27">
          <cell r="F27" t="str">
            <v>офисы абая</v>
          </cell>
          <cell r="G27">
            <v>90000</v>
          </cell>
        </row>
        <row r="28">
          <cell r="F28" t="str">
            <v>чубары гаражи</v>
          </cell>
          <cell r="G28">
            <v>48800</v>
          </cell>
        </row>
        <row r="29">
          <cell r="F29" t="str">
            <v>чубары квартиры</v>
          </cell>
          <cell r="G29">
            <v>81900</v>
          </cell>
        </row>
        <row r="30">
          <cell r="F30" t="str">
            <v>чубары офисы</v>
          </cell>
          <cell r="G30">
            <v>77200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курсы"/>
      <sheetName val="БТА"/>
      <sheetName val="ККБ"/>
      <sheetName val="год"/>
      <sheetName val="деньги"/>
      <sheetName val="объекты общества"/>
      <sheetName val="расторжения"/>
      <sheetName val="констант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2">
          <cell r="F2" t="str">
            <v>4 башни (п1)</v>
          </cell>
          <cell r="G2">
            <v>131000</v>
          </cell>
        </row>
        <row r="3">
          <cell r="F3" t="str">
            <v>4 башни (п2)</v>
          </cell>
          <cell r="G3">
            <v>131700</v>
          </cell>
        </row>
        <row r="4">
          <cell r="F4" t="str">
            <v>VIP</v>
          </cell>
          <cell r="G4">
            <v>69300</v>
          </cell>
        </row>
        <row r="5">
          <cell r="F5" t="str">
            <v>Абая</v>
          </cell>
          <cell r="G5">
            <v>107700</v>
          </cell>
        </row>
        <row r="6">
          <cell r="F6" t="str">
            <v>аблайхана квартиры</v>
          </cell>
          <cell r="G6">
            <v>78000</v>
          </cell>
        </row>
        <row r="7">
          <cell r="F7" t="str">
            <v>алтын-орда квартиры</v>
          </cell>
          <cell r="G7">
            <v>150300</v>
          </cell>
        </row>
        <row r="8">
          <cell r="F8" t="str">
            <v>алтын-орда офисы</v>
          </cell>
          <cell r="G8">
            <v>109400</v>
          </cell>
        </row>
        <row r="9">
          <cell r="F9" t="str">
            <v>бабочка</v>
          </cell>
          <cell r="G9">
            <v>82900</v>
          </cell>
        </row>
        <row r="10">
          <cell r="F10" t="str">
            <v>бараева</v>
          </cell>
          <cell r="G10">
            <v>61000</v>
          </cell>
        </row>
        <row r="11">
          <cell r="F11" t="str">
            <v>бараева2оч</v>
          </cell>
          <cell r="G11">
            <v>100467</v>
          </cell>
        </row>
        <row r="12">
          <cell r="F12" t="str">
            <v>бигельдинова квартиры</v>
          </cell>
          <cell r="G12">
            <v>137700</v>
          </cell>
        </row>
        <row r="13">
          <cell r="F13" t="str">
            <v>бигельдинова офисы</v>
          </cell>
          <cell r="G13">
            <v>162100</v>
          </cell>
        </row>
        <row r="14">
          <cell r="F14" t="str">
            <v>встр.Им.нечет.</v>
          </cell>
          <cell r="G14">
            <v>143400</v>
          </cell>
        </row>
        <row r="15">
          <cell r="A15">
            <v>130</v>
          </cell>
          <cell r="F15" t="str">
            <v>евразия</v>
          </cell>
          <cell r="G15">
            <v>69600</v>
          </cell>
        </row>
        <row r="16">
          <cell r="F16" t="str">
            <v>иманова гаражи</v>
          </cell>
          <cell r="G16">
            <v>38600</v>
          </cell>
        </row>
        <row r="17">
          <cell r="F17" t="str">
            <v>иманова квартиры</v>
          </cell>
          <cell r="G17">
            <v>64000</v>
          </cell>
        </row>
        <row r="18">
          <cell r="F18" t="str">
            <v>иманова коттеджи</v>
          </cell>
          <cell r="G18">
            <v>69200</v>
          </cell>
        </row>
        <row r="19">
          <cell r="F19" t="str">
            <v>Иманова неч. квартиры</v>
          </cell>
          <cell r="G19">
            <v>118200</v>
          </cell>
        </row>
        <row r="20">
          <cell r="F20" t="str">
            <v>иманова офисы</v>
          </cell>
          <cell r="G20">
            <v>77000</v>
          </cell>
        </row>
        <row r="21">
          <cell r="F21" t="str">
            <v>им-респ квартиры</v>
          </cell>
          <cell r="G21">
            <v>80100</v>
          </cell>
        </row>
        <row r="22">
          <cell r="F22" t="str">
            <v>им-респ офисы</v>
          </cell>
          <cell r="G22">
            <v>55000</v>
          </cell>
        </row>
        <row r="23">
          <cell r="F23" t="str">
            <v>кенесары квартиры</v>
          </cell>
          <cell r="G23">
            <v>84500</v>
          </cell>
        </row>
        <row r="24">
          <cell r="F24" t="str">
            <v>кенесары офисы</v>
          </cell>
          <cell r="G24">
            <v>84500</v>
          </cell>
        </row>
        <row r="25">
          <cell r="F25" t="str">
            <v>Набережная</v>
          </cell>
          <cell r="G25">
            <v>81000</v>
          </cell>
        </row>
        <row r="26">
          <cell r="F26" t="str">
            <v>отрар</v>
          </cell>
          <cell r="G26">
            <v>189900</v>
          </cell>
        </row>
        <row r="27">
          <cell r="F27" t="str">
            <v>офисы абая</v>
          </cell>
          <cell r="G27">
            <v>90000</v>
          </cell>
        </row>
        <row r="28">
          <cell r="F28" t="str">
            <v>чубары гаражи</v>
          </cell>
          <cell r="G28">
            <v>48800</v>
          </cell>
        </row>
        <row r="29">
          <cell r="F29" t="str">
            <v>чубары квартиры</v>
          </cell>
          <cell r="G29">
            <v>81900</v>
          </cell>
        </row>
        <row r="30">
          <cell r="F30" t="str">
            <v>чубары офисы</v>
          </cell>
          <cell r="G30">
            <v>77200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курсы"/>
      <sheetName val="БТА"/>
      <sheetName val="ККБ"/>
      <sheetName val="год"/>
      <sheetName val="деньги"/>
      <sheetName val="объекты общества"/>
      <sheetName val="расторжения"/>
      <sheetName val="констант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2">
          <cell r="F2" t="str">
            <v>4 башни (п1)</v>
          </cell>
          <cell r="G2">
            <v>131000</v>
          </cell>
        </row>
        <row r="3">
          <cell r="F3" t="str">
            <v>4 башни (п2)</v>
          </cell>
          <cell r="G3">
            <v>131700</v>
          </cell>
        </row>
        <row r="4">
          <cell r="F4" t="str">
            <v>VIP</v>
          </cell>
          <cell r="G4">
            <v>69300</v>
          </cell>
        </row>
        <row r="5">
          <cell r="F5" t="str">
            <v>Абая</v>
          </cell>
          <cell r="G5">
            <v>107700</v>
          </cell>
        </row>
        <row r="6">
          <cell r="F6" t="str">
            <v>аблайхана квартиры</v>
          </cell>
          <cell r="G6">
            <v>78000</v>
          </cell>
        </row>
        <row r="7">
          <cell r="F7" t="str">
            <v>алтын-орда квартиры</v>
          </cell>
          <cell r="G7">
            <v>150300</v>
          </cell>
        </row>
        <row r="8">
          <cell r="F8" t="str">
            <v>алтын-орда офисы</v>
          </cell>
          <cell r="G8">
            <v>109400</v>
          </cell>
        </row>
        <row r="9">
          <cell r="F9" t="str">
            <v>бабочка</v>
          </cell>
          <cell r="G9">
            <v>82900</v>
          </cell>
        </row>
        <row r="10">
          <cell r="F10" t="str">
            <v>бараева</v>
          </cell>
          <cell r="G10">
            <v>61000</v>
          </cell>
        </row>
        <row r="11">
          <cell r="F11" t="str">
            <v>бараева2оч</v>
          </cell>
          <cell r="G11">
            <v>100467</v>
          </cell>
        </row>
        <row r="12">
          <cell r="F12" t="str">
            <v>бигельдинова квартиры</v>
          </cell>
          <cell r="G12">
            <v>137700</v>
          </cell>
        </row>
        <row r="13">
          <cell r="F13" t="str">
            <v>бигельдинова офисы</v>
          </cell>
          <cell r="G13">
            <v>162100</v>
          </cell>
        </row>
        <row r="14">
          <cell r="F14" t="str">
            <v>встр.Им.нечет.</v>
          </cell>
          <cell r="G14">
            <v>143400</v>
          </cell>
        </row>
        <row r="15">
          <cell r="A15">
            <v>130</v>
          </cell>
          <cell r="F15" t="str">
            <v>евразия</v>
          </cell>
          <cell r="G15">
            <v>69600</v>
          </cell>
        </row>
        <row r="16">
          <cell r="F16" t="str">
            <v>иманова гаражи</v>
          </cell>
          <cell r="G16">
            <v>38600</v>
          </cell>
        </row>
        <row r="17">
          <cell r="F17" t="str">
            <v>иманова квартиры</v>
          </cell>
          <cell r="G17">
            <v>64000</v>
          </cell>
        </row>
        <row r="18">
          <cell r="F18" t="str">
            <v>иманова коттеджи</v>
          </cell>
          <cell r="G18">
            <v>69200</v>
          </cell>
        </row>
        <row r="19">
          <cell r="F19" t="str">
            <v>Иманова неч. квартиры</v>
          </cell>
          <cell r="G19">
            <v>118200</v>
          </cell>
        </row>
        <row r="20">
          <cell r="F20" t="str">
            <v>иманова офисы</v>
          </cell>
          <cell r="G20">
            <v>77000</v>
          </cell>
        </row>
        <row r="21">
          <cell r="F21" t="str">
            <v>им-респ квартиры</v>
          </cell>
          <cell r="G21">
            <v>80100</v>
          </cell>
        </row>
        <row r="22">
          <cell r="F22" t="str">
            <v>им-респ офисы</v>
          </cell>
          <cell r="G22">
            <v>55000</v>
          </cell>
        </row>
        <row r="23">
          <cell r="F23" t="str">
            <v>кенесары квартиры</v>
          </cell>
          <cell r="G23">
            <v>84500</v>
          </cell>
        </row>
        <row r="24">
          <cell r="F24" t="str">
            <v>кенесары офисы</v>
          </cell>
          <cell r="G24">
            <v>84500</v>
          </cell>
        </row>
        <row r="25">
          <cell r="F25" t="str">
            <v>Набережная</v>
          </cell>
          <cell r="G25">
            <v>81000</v>
          </cell>
        </row>
        <row r="26">
          <cell r="F26" t="str">
            <v>отрар</v>
          </cell>
          <cell r="G26">
            <v>189900</v>
          </cell>
        </row>
        <row r="27">
          <cell r="F27" t="str">
            <v>офисы абая</v>
          </cell>
          <cell r="G27">
            <v>90000</v>
          </cell>
        </row>
        <row r="28">
          <cell r="F28" t="str">
            <v>чубары гаражи</v>
          </cell>
          <cell r="G28">
            <v>48800</v>
          </cell>
        </row>
        <row r="29">
          <cell r="F29" t="str">
            <v>чубары квартиры</v>
          </cell>
          <cell r="G29">
            <v>81900</v>
          </cell>
        </row>
        <row r="30">
          <cell r="F30" t="str">
            <v>чубары офисы</v>
          </cell>
          <cell r="G30">
            <v>77200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курсы"/>
      <sheetName val="БТА"/>
      <sheetName val="ККБ"/>
      <sheetName val="год"/>
      <sheetName val="деньги"/>
      <sheetName val="объекты общества"/>
      <sheetName val="расторжения"/>
      <sheetName val="констант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2">
          <cell r="F2" t="str">
            <v>4 башни (п1)</v>
          </cell>
          <cell r="G2">
            <v>131000</v>
          </cell>
        </row>
        <row r="3">
          <cell r="F3" t="str">
            <v>4 башни (п2)</v>
          </cell>
          <cell r="G3">
            <v>131700</v>
          </cell>
        </row>
        <row r="4">
          <cell r="F4" t="str">
            <v>VIP</v>
          </cell>
          <cell r="G4">
            <v>69300</v>
          </cell>
        </row>
        <row r="5">
          <cell r="F5" t="str">
            <v>Абая</v>
          </cell>
          <cell r="G5">
            <v>107700</v>
          </cell>
        </row>
        <row r="6">
          <cell r="F6" t="str">
            <v>аблайхана квартиры</v>
          </cell>
          <cell r="G6">
            <v>78000</v>
          </cell>
        </row>
        <row r="7">
          <cell r="F7" t="str">
            <v>алтын-орда квартиры</v>
          </cell>
          <cell r="G7">
            <v>150300</v>
          </cell>
        </row>
        <row r="8">
          <cell r="F8" t="str">
            <v>алтын-орда офисы</v>
          </cell>
          <cell r="G8">
            <v>109400</v>
          </cell>
        </row>
        <row r="9">
          <cell r="F9" t="str">
            <v>бабочка</v>
          </cell>
          <cell r="G9">
            <v>82900</v>
          </cell>
        </row>
        <row r="10">
          <cell r="F10" t="str">
            <v>бараева</v>
          </cell>
          <cell r="G10">
            <v>61000</v>
          </cell>
        </row>
        <row r="11">
          <cell r="F11" t="str">
            <v>бараева2оч</v>
          </cell>
          <cell r="G11">
            <v>100467</v>
          </cell>
        </row>
        <row r="12">
          <cell r="F12" t="str">
            <v>бигельдинова квартиры</v>
          </cell>
          <cell r="G12">
            <v>137700</v>
          </cell>
        </row>
        <row r="13">
          <cell r="F13" t="str">
            <v>бигельдинова офисы</v>
          </cell>
          <cell r="G13">
            <v>162100</v>
          </cell>
        </row>
        <row r="14">
          <cell r="F14" t="str">
            <v>встр.Им.нечет.</v>
          </cell>
          <cell r="G14">
            <v>143400</v>
          </cell>
        </row>
        <row r="15">
          <cell r="A15">
            <v>130</v>
          </cell>
          <cell r="F15" t="str">
            <v>евразия</v>
          </cell>
          <cell r="G15">
            <v>69600</v>
          </cell>
        </row>
        <row r="16">
          <cell r="F16" t="str">
            <v>иманова гаражи</v>
          </cell>
          <cell r="G16">
            <v>38600</v>
          </cell>
        </row>
        <row r="17">
          <cell r="F17" t="str">
            <v>иманова квартиры</v>
          </cell>
          <cell r="G17">
            <v>64000</v>
          </cell>
        </row>
        <row r="18">
          <cell r="F18" t="str">
            <v>иманова коттеджи</v>
          </cell>
          <cell r="G18">
            <v>69200</v>
          </cell>
        </row>
        <row r="19">
          <cell r="F19" t="str">
            <v>Иманова неч. квартиры</v>
          </cell>
          <cell r="G19">
            <v>118200</v>
          </cell>
        </row>
        <row r="20">
          <cell r="F20" t="str">
            <v>иманова офисы</v>
          </cell>
          <cell r="G20">
            <v>77000</v>
          </cell>
        </row>
        <row r="21">
          <cell r="F21" t="str">
            <v>им-респ квартиры</v>
          </cell>
          <cell r="G21">
            <v>80100</v>
          </cell>
        </row>
        <row r="22">
          <cell r="F22" t="str">
            <v>им-респ офисы</v>
          </cell>
          <cell r="G22">
            <v>55000</v>
          </cell>
        </row>
        <row r="23">
          <cell r="F23" t="str">
            <v>кенесары квартиры</v>
          </cell>
          <cell r="G23">
            <v>84500</v>
          </cell>
        </row>
        <row r="24">
          <cell r="F24" t="str">
            <v>кенесары офисы</v>
          </cell>
          <cell r="G24">
            <v>84500</v>
          </cell>
        </row>
        <row r="25">
          <cell r="F25" t="str">
            <v>Набережная</v>
          </cell>
          <cell r="G25">
            <v>81000</v>
          </cell>
        </row>
        <row r="26">
          <cell r="F26" t="str">
            <v>отрар</v>
          </cell>
          <cell r="G26">
            <v>189900</v>
          </cell>
        </row>
        <row r="27">
          <cell r="F27" t="str">
            <v>офисы абая</v>
          </cell>
          <cell r="G27">
            <v>90000</v>
          </cell>
        </row>
        <row r="28">
          <cell r="F28" t="str">
            <v>чубары гаражи</v>
          </cell>
          <cell r="G28">
            <v>48800</v>
          </cell>
        </row>
        <row r="29">
          <cell r="F29" t="str">
            <v>чубары квартиры</v>
          </cell>
          <cell r="G29">
            <v>81900</v>
          </cell>
        </row>
        <row r="30">
          <cell r="F30" t="str">
            <v>чубары офисы</v>
          </cell>
          <cell r="G30">
            <v>77200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Финпоки1"/>
      <sheetName val="ф3 2"/>
      <sheetName val="ф2 3"/>
      <sheetName val="Площади 4"/>
      <sheetName val="Кап.затр 5"/>
      <sheetName val="Доходы 6"/>
      <sheetName val="кредит 7"/>
      <sheetName val="Аморт 8"/>
      <sheetName val="Пост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Осн.показ"/>
      <sheetName val="ОС"/>
      <sheetName val="Аморт"/>
      <sheetName val="Налоги"/>
      <sheetName val="Оборотка"/>
      <sheetName val="Пост"/>
      <sheetName val="Перем."/>
      <sheetName val="Штат до ввода"/>
      <sheetName val="Штат пос ввода"/>
      <sheetName val="Оценка"/>
      <sheetName val="кредит"/>
      <sheetName val="График стр."/>
      <sheetName val="ФХД АФ"/>
      <sheetName val="Cash пр"/>
      <sheetName val="IRR NPV"/>
      <sheetName val="Tornado"/>
    </sheetNames>
    <sheetDataSet>
      <sheetData sheetId="0" refreshError="1">
        <row r="6">
          <cell r="C6">
            <v>442.47787610619474</v>
          </cell>
        </row>
        <row r="10">
          <cell r="C10">
            <v>75600</v>
          </cell>
        </row>
        <row r="11">
          <cell r="C11">
            <v>32400</v>
          </cell>
        </row>
        <row r="12">
          <cell r="C12">
            <v>367.08209105484542</v>
          </cell>
        </row>
      </sheetData>
      <sheetData sheetId="1" refreshError="1">
        <row r="27">
          <cell r="D27">
            <v>1022552.6843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Главн"/>
      <sheetName val="Пояснения"/>
      <sheetName val="Эффективность"/>
      <sheetName val="Рас.эффект"/>
      <sheetName val="№ 2 Товар.выпуск"/>
      <sheetName val="№ 3 Реализация"/>
      <sheetName val="Доходы"/>
      <sheetName val="Себест реал"/>
      <sheetName val="Cash"/>
      <sheetName val="CF"/>
      <sheetName val="P&amp;L"/>
      <sheetName val="Кредиты"/>
      <sheetName val="Кредиты 2"/>
      <sheetName val="Кредиты 3"/>
      <sheetName val="№ 1 Произв.прогр"/>
      <sheetName val="Произв.мощн"/>
      <sheetName val="График работ"/>
      <sheetName val="Invest"/>
      <sheetName val="Лист1"/>
      <sheetName val="Граф кап инвестиц"/>
      <sheetName val="Граф произв инвестиц"/>
      <sheetName val="Амортиз"/>
      <sheetName val="Спр.мат"/>
      <sheetName val="Материалы"/>
      <sheetName val="№ 4 Материалы полн"/>
      <sheetName val="Материалы по ассорт"/>
      <sheetName val="Упаковка"/>
      <sheetName val="№ 4-1 Мат 0,5 ЗС"/>
      <sheetName val="№ 4-2 Мат 0,7 ЗС"/>
      <sheetName val="№ 4-3 Мат 0,5 обл"/>
      <sheetName val="№ 4-4 Мат 0,5 ст"/>
      <sheetName val="№ 4-5 Мат 0,5 ст шелкогр"/>
      <sheetName val="Мат 6"/>
      <sheetName val="Мат 7"/>
      <sheetName val="Мат 8"/>
      <sheetName val="Мат 9"/>
      <sheetName val="Мат 10"/>
      <sheetName val="Мат 11"/>
      <sheetName val="Мат 12"/>
      <sheetName val="Мат 13"/>
      <sheetName val="Мат 14"/>
      <sheetName val="Мат Тов-15"/>
      <sheetName val="Мат Тов-16"/>
      <sheetName val="Мат Тов-17"/>
      <sheetName val="Мат Тов-18"/>
      <sheetName val="Мат Тов-19"/>
      <sheetName val="Мат Тов-20"/>
      <sheetName val="№ 5 Энерго"/>
      <sheetName val="Персонал"/>
      <sheetName val="Налоги"/>
      <sheetName val="№ 6-1 Свод затрат без НДС"/>
      <sheetName val="№ 6-2 Свод затрат с НДС"/>
      <sheetName val="№ 7 КАЛЬКУЛ 1-2"/>
      <sheetName val="№ 7 КАЛЬКУЛ 3-4"/>
      <sheetName val="КАЛЬКУЛ 5"/>
      <sheetName val="Затраты по месяцам"/>
      <sheetName val="Нал на трансп"/>
      <sheetName val="Ставки соц"/>
      <sheetName val="Ставки под.физ"/>
      <sheetName val="ГСМ"/>
      <sheetName val="График"/>
    </sheetNames>
    <sheetDataSet>
      <sheetData sheetId="0" refreshError="1">
        <row r="42">
          <cell r="D42">
            <v>0.14000000000000001</v>
          </cell>
          <cell r="E42">
            <v>0.14000000000000001</v>
          </cell>
          <cell r="F42">
            <v>0.14000000000000001</v>
          </cell>
          <cell r="G42">
            <v>0.14000000000000001</v>
          </cell>
          <cell r="H42">
            <v>0.14000000000000001</v>
          </cell>
          <cell r="I42">
            <v>0.12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0.3</v>
          </cell>
          <cell r="J46">
            <v>0.3</v>
          </cell>
          <cell r="K46">
            <v>0.3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Осн.показ"/>
      <sheetName val="ОС"/>
      <sheetName val="Аморт"/>
      <sheetName val="Налоги"/>
      <sheetName val="Оборотка"/>
      <sheetName val="Пост"/>
      <sheetName val="Перем."/>
      <sheetName val="Штат до ввода"/>
      <sheetName val="Штат пос ввода"/>
      <sheetName val="Оценка"/>
      <sheetName val="кредит"/>
      <sheetName val="График стр."/>
      <sheetName val="ФХД АФ"/>
      <sheetName val="Cash пр"/>
      <sheetName val="IRR NPV"/>
      <sheetName val="Tornado"/>
    </sheetNames>
    <sheetDataSet>
      <sheetData sheetId="0" refreshError="1">
        <row r="6">
          <cell r="C6">
            <v>442.47787610619474</v>
          </cell>
        </row>
        <row r="10">
          <cell r="C10">
            <v>75600</v>
          </cell>
        </row>
        <row r="11">
          <cell r="C11">
            <v>32400</v>
          </cell>
        </row>
        <row r="12">
          <cell r="C12">
            <v>367.08209105484542</v>
          </cell>
        </row>
      </sheetData>
      <sheetData sheetId="1" refreshError="1">
        <row r="27">
          <cell r="D27">
            <v>1022552.6843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Осн.показ"/>
      <sheetName val="ОС"/>
      <sheetName val="Аморт"/>
      <sheetName val="Налоги"/>
      <sheetName val="Оборотка"/>
      <sheetName val="Пост"/>
      <sheetName val="Перем."/>
      <sheetName val="Штат до ввода"/>
      <sheetName val="Штат пос ввода"/>
      <sheetName val="Оценка"/>
      <sheetName val="кредит"/>
      <sheetName val="График стр."/>
      <sheetName val="ФХД АФ"/>
      <sheetName val="Cash пр"/>
      <sheetName val="IRR NPV"/>
      <sheetName val="Tornado"/>
    </sheetNames>
    <sheetDataSet>
      <sheetData sheetId="0" refreshError="1">
        <row r="6">
          <cell r="C6">
            <v>442.47787610619474</v>
          </cell>
        </row>
        <row r="10">
          <cell r="C10">
            <v>75600</v>
          </cell>
        </row>
        <row r="11">
          <cell r="C11">
            <v>32400</v>
          </cell>
        </row>
        <row r="12">
          <cell r="C12">
            <v>367.08209105484542</v>
          </cell>
        </row>
      </sheetData>
      <sheetData sheetId="1" refreshError="1">
        <row r="27">
          <cell r="D27">
            <v>1022552.6843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и сбыт"/>
      <sheetName val="Прямые затраты"/>
      <sheetName val="Персонал"/>
      <sheetName val="ГСМ Налоги"/>
      <sheetName val="Амортизация"/>
      <sheetName val="Приобретение ОС"/>
      <sheetName val="Временные расходы"/>
      <sheetName val="Пост расходы"/>
      <sheetName val="График"/>
      <sheetName val="ОПиУ"/>
      <sheetName val="ОДДС"/>
      <sheetName val="Эффективность"/>
    </sheetNames>
    <sheetDataSet>
      <sheetData sheetId="0">
        <row r="2">
          <cell r="C2">
            <v>218700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и сбыт"/>
      <sheetName val="Прямые затраты"/>
      <sheetName val="Персонал"/>
      <sheetName val="ГСМ Налоги"/>
      <sheetName val="Амортизация"/>
      <sheetName val="Приобретение ОС"/>
      <sheetName val="Временные расходы"/>
      <sheetName val="Пост расходы"/>
      <sheetName val="График"/>
      <sheetName val="ОПиУ"/>
      <sheetName val="ОДДС"/>
      <sheetName val="Эффективность"/>
    </sheetNames>
    <sheetDataSet>
      <sheetData sheetId="0">
        <row r="2">
          <cell r="C2">
            <v>218700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и сбыт"/>
      <sheetName val="Прямые затраты"/>
      <sheetName val="Персонал"/>
      <sheetName val="ГСМ Налоги"/>
      <sheetName val="Амортизация"/>
      <sheetName val="Приобретение ОС"/>
      <sheetName val="Временные расходы"/>
      <sheetName val="Пост расходы"/>
      <sheetName val="График"/>
      <sheetName val="ОПиУ"/>
      <sheetName val="ОДДС"/>
      <sheetName val="Эффективность"/>
    </sheetNames>
    <sheetDataSet>
      <sheetData sheetId="0">
        <row r="2">
          <cell r="C2">
            <v>218700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Осн п"/>
      <sheetName val="Исх"/>
      <sheetName val="ФОТ"/>
      <sheetName val="кр"/>
      <sheetName val="План"/>
      <sheetName val="ф2"/>
      <sheetName val="Ф3"/>
      <sheetName val="Пер"/>
      <sheetName val="Пост"/>
      <sheetName val="Инв"/>
      <sheetName val="NPV"/>
      <sheetName val="График"/>
      <sheetName val="Пост."/>
    </sheetNames>
    <sheetDataSet>
      <sheetData sheetId="0" refreshError="1"/>
      <sheetData sheetId="1">
        <row r="9">
          <cell r="C9">
            <v>0.13</v>
          </cell>
        </row>
      </sheetData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</sheetDataSet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ОП"/>
      <sheetName val="Ф3"/>
      <sheetName val="ф2"/>
      <sheetName val="кр"/>
      <sheetName val="График"/>
      <sheetName val="пост"/>
      <sheetName val="безубыт"/>
      <sheetName val="сметы работ"/>
      <sheetName val="исх"/>
      <sheetName val="штат"/>
      <sheetName val="дох"/>
      <sheetName val="расх матер"/>
      <sheetName val="амор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Осн п"/>
      <sheetName val="Исх"/>
      <sheetName val="ФОТ"/>
      <sheetName val="кр"/>
      <sheetName val="План"/>
      <sheetName val="ф2"/>
      <sheetName val="Ф3"/>
      <sheetName val="Пост"/>
      <sheetName val="Инв"/>
      <sheetName val="безубыт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/>
      <sheetData sheetId="7" refreshError="1"/>
      <sheetData sheetId="8" refreshError="1"/>
      <sheetData sheetId="9" refreshError="1"/>
    </sheetDataSet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Об пр-ва"/>
      <sheetName val="Осн. пара"/>
      <sheetName val="Осн пар Свод"/>
      <sheetName val="3Ф"/>
      <sheetName val="2Ф"/>
      <sheetName val="Норм"/>
      <sheetName val="ОС"/>
      <sheetName val="Граф строит"/>
      <sheetName val="Пост Рх"/>
      <sheetName val="кредит"/>
      <sheetName val="Глины"/>
      <sheetName val="Рас по тр-ту"/>
      <sheetName val="ЗП"/>
      <sheetName val="IRR NPV"/>
      <sheetName val="Амор"/>
      <sheetName val="влиян топл"/>
      <sheetName val="Себест-ть"/>
      <sheetName val="обоснование"/>
      <sheetName val="цены"/>
    </sheetNames>
    <sheetDataSet>
      <sheetData sheetId="0" refreshError="1"/>
      <sheetData sheetId="1">
        <row r="9">
          <cell r="C9">
            <v>26</v>
          </cell>
        </row>
      </sheetData>
      <sheetData sheetId="2" refreshError="1"/>
      <sheetData sheetId="3" refreshError="1"/>
      <sheetData sheetId="4" refreshError="1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Об пр-ва"/>
      <sheetName val="Осн. пара"/>
      <sheetName val="Осн пар Свод"/>
      <sheetName val="3Ф"/>
      <sheetName val="2Ф"/>
      <sheetName val="Норм"/>
      <sheetName val="ОС"/>
      <sheetName val="Граф строит"/>
      <sheetName val="Пост Рх"/>
      <sheetName val="кредит"/>
      <sheetName val="Глины"/>
      <sheetName val="Рас по тр-ту"/>
      <sheetName val="ЗП"/>
      <sheetName val="IRR NPV"/>
      <sheetName val="Амор"/>
      <sheetName val="влиян топл"/>
      <sheetName val="Себест-ть"/>
      <sheetName val="обоснование"/>
      <sheetName val="цены"/>
    </sheetNames>
    <sheetDataSet>
      <sheetData sheetId="0" refreshError="1"/>
      <sheetData sheetId="1">
        <row r="9">
          <cell r="C9">
            <v>26</v>
          </cell>
        </row>
      </sheetData>
      <sheetData sheetId="2" refreshError="1"/>
      <sheetData sheetId="3" refreshError="1"/>
      <sheetData sheetId="4" refreshError="1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Задание"/>
      <sheetName val="NPV"/>
      <sheetName val="IRRa"/>
      <sheetName val="IRRb"/>
    </sheetNames>
    <sheetDataSet>
      <sheetData sheetId="0"/>
      <sheetData sheetId="1">
        <row r="18">
          <cell r="F18">
            <v>-1000000</v>
          </cell>
        </row>
      </sheetData>
      <sheetData sheetId="2"/>
      <sheetData sheetId="3"/>
    </sheetDataSet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Об пр-ва"/>
      <sheetName val="Осн. пара"/>
      <sheetName val="Осн пар Свод"/>
      <sheetName val="3Ф"/>
      <sheetName val="2Ф"/>
      <sheetName val="Норм"/>
      <sheetName val="ОС"/>
      <sheetName val="Граф строит"/>
      <sheetName val="Пост Рх"/>
      <sheetName val="кредит"/>
      <sheetName val="Глины"/>
      <sheetName val="Рас по тр-ту"/>
      <sheetName val="ЗП"/>
      <sheetName val="IRR NPV"/>
      <sheetName val="Амор"/>
      <sheetName val="влиян топл"/>
      <sheetName val="Себест-ть"/>
      <sheetName val="обоснование"/>
      <sheetName val="цены"/>
    </sheetNames>
    <sheetDataSet>
      <sheetData sheetId="0" refreshError="1"/>
      <sheetData sheetId="1">
        <row r="9">
          <cell r="C9">
            <v>26</v>
          </cell>
        </row>
      </sheetData>
      <sheetData sheetId="2" refreshError="1"/>
      <sheetData sheetId="3" refreshError="1"/>
      <sheetData sheetId="4" refreshError="1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Баланс"/>
      <sheetName val="Риски"/>
      <sheetName val="Осн. пара"/>
      <sheetName val="Оценка "/>
      <sheetName val="Модель"/>
      <sheetName val="IRR NPV"/>
      <sheetName val="фин пок СК 1"/>
      <sheetName val="фин пок 1"/>
      <sheetName val="Осн пар Свод"/>
      <sheetName val="2Ф"/>
      <sheetName val="3Ф"/>
      <sheetName val="Граф стр"/>
      <sheetName val="кредит с БРК"/>
      <sheetName val="Норм"/>
      <sheetName val="Пост Рх"/>
      <sheetName val="Глины"/>
      <sheetName val="Рас по тр-ту"/>
      <sheetName val="ЗП"/>
      <sheetName val="Амор"/>
      <sheetName val="Стр. фин"/>
      <sheetName val="Свод кредиты"/>
      <sheetName val="Об пр-ва"/>
      <sheetName val="влиян топл"/>
      <sheetName val="кредит"/>
      <sheetName val="ОС"/>
      <sheetName val="констр"/>
      <sheetName val="под"/>
      <sheetName val="График кредит"/>
      <sheetName val="Лист1"/>
      <sheetName val="Себест-ть"/>
      <sheetName val="Граф строит"/>
      <sheetName val="обоснование"/>
      <sheetName val="цены"/>
      <sheetName val="Ф3 для АФ"/>
      <sheetName val="3A для АФ"/>
      <sheetName val="Ф2 для АФ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9">
          <cell r="F9">
            <v>15.920769635750389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  <sheetData sheetId="34"/>
      <sheetData sheetId="35"/>
    </sheetDataSet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Баланс"/>
      <sheetName val="Риски"/>
      <sheetName val="Осн. пара"/>
      <sheetName val="Оценка "/>
      <sheetName val="Модель"/>
      <sheetName val="IRR NPV"/>
      <sheetName val="фин пок СК 1"/>
      <sheetName val="фин пок 1"/>
      <sheetName val="Осн пар Свод"/>
      <sheetName val="2Ф"/>
      <sheetName val="3Ф"/>
      <sheetName val="Граф стр"/>
      <sheetName val="кредит с БРК"/>
      <sheetName val="Норм"/>
      <sheetName val="Пост Рх"/>
      <sheetName val="Глины"/>
      <sheetName val="Рас по тр-ту"/>
      <sheetName val="ЗП"/>
      <sheetName val="Амор"/>
      <sheetName val="Стр. фин"/>
      <sheetName val="Свод кредиты"/>
      <sheetName val="Об пр-ва"/>
      <sheetName val="влиян топл"/>
      <sheetName val="кредит"/>
      <sheetName val="ОС"/>
      <sheetName val="констр"/>
      <sheetName val="под"/>
      <sheetName val="График кредит"/>
      <sheetName val="Лист1"/>
      <sheetName val="Себест-ть"/>
      <sheetName val="Граф строит"/>
      <sheetName val="обоснование"/>
      <sheetName val="цены"/>
      <sheetName val="Ф3 для АФ"/>
      <sheetName val="3A для АФ"/>
      <sheetName val="Ф2 для АФ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9">
          <cell r="F9">
            <v>15.920769635750389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  <sheetData sheetId="34"/>
      <sheetData sheetId="35"/>
    </sheetDataSet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Баланс"/>
      <sheetName val="Риски"/>
      <sheetName val="Осн. пара"/>
      <sheetName val="Оценка "/>
      <sheetName val="Модель"/>
      <sheetName val="IRR NPV"/>
      <sheetName val="фин пок СК 1"/>
      <sheetName val="фин пок 1"/>
      <sheetName val="Осн пар Свод"/>
      <sheetName val="2Ф"/>
      <sheetName val="3Ф"/>
      <sheetName val="Граф стр"/>
      <sheetName val="кредит с БРК"/>
      <sheetName val="Норм"/>
      <sheetName val="Пост Рх"/>
      <sheetName val="Глины"/>
      <sheetName val="Рас по тр-ту"/>
      <sheetName val="ЗП"/>
      <sheetName val="Амор"/>
      <sheetName val="Стр. фин"/>
      <sheetName val="Свод кредиты"/>
      <sheetName val="Об пр-ва"/>
      <sheetName val="влиян топл"/>
      <sheetName val="кредит"/>
      <sheetName val="ОС"/>
      <sheetName val="констр"/>
      <sheetName val="под"/>
      <sheetName val="График кредит"/>
      <sheetName val="Лист1"/>
      <sheetName val="Себест-ть"/>
      <sheetName val="Граф строит"/>
      <sheetName val="обоснование"/>
      <sheetName val="цены"/>
      <sheetName val="Ф3 для АФ"/>
      <sheetName val="3A для АФ"/>
      <sheetName val="Ф2 для АФ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9">
          <cell r="F9">
            <v>15.920769635750389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  <sheetData sheetId="34"/>
      <sheetData sheetId="35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Исх докум"/>
      <sheetName val="Указатель"/>
      <sheetName val="Б1"/>
      <sheetName val="О1"/>
      <sheetName val="Б2"/>
      <sheetName val="О2"/>
      <sheetName val="Б3!!!"/>
      <sheetName val="О3!!!"/>
      <sheetName val="Исх.1"/>
      <sheetName val="Исх.2"/>
      <sheetName val="Исх.3!!!"/>
      <sheetName val="Нетто1"/>
      <sheetName val="Нетто2"/>
      <sheetName val="Нетто3!!!"/>
      <sheetName val="Гориз"/>
      <sheetName val="Верт!!!"/>
      <sheetName val="К-ф!!!"/>
      <sheetName val="Активы (размещ)!!!"/>
      <sheetName val="Уровень показателей!!!"/>
      <sheetName val="Фин. ресурсы!!!"/>
      <sheetName val="Наличие об ср-в!!!"/>
      <sheetName val="Кт!!!"/>
      <sheetName val="Дин. оборотн. ср-в!!!"/>
      <sheetName val="Дт"/>
      <sheetName val="Ликв баланса!!!"/>
      <sheetName val="Самофинанс!!!"/>
      <sheetName val="Рынок сырья"/>
      <sheetName val="Вид продукции"/>
      <sheetName val="Справка_НБ"/>
      <sheetName val="Анализ"/>
      <sheetName val="Показатели"/>
      <sheetName val="Модуль2"/>
      <sheetName val="Аванс кап"/>
      <sheetName val="Текст"/>
    </sheetNames>
    <sheetDataSet>
      <sheetData sheetId="0" refreshError="1"/>
      <sheetData sheetId="1" refreshError="1"/>
      <sheetData sheetId="2" refreshError="1"/>
      <sheetData sheetId="3">
        <row r="6">
          <cell r="B6" t="str">
            <v>услуги по аренде машин оборудования без оператора</v>
          </cell>
        </row>
        <row r="34">
          <cell r="C34">
            <v>0</v>
          </cell>
          <cell r="D34">
            <v>0</v>
          </cell>
        </row>
        <row r="35">
          <cell r="C35">
            <v>0</v>
          </cell>
          <cell r="D35">
            <v>0</v>
          </cell>
        </row>
        <row r="36">
          <cell r="C36">
            <v>0</v>
          </cell>
          <cell r="D36">
            <v>0</v>
          </cell>
        </row>
        <row r="37">
          <cell r="C37">
            <v>0</v>
          </cell>
          <cell r="D37">
            <v>0</v>
          </cell>
        </row>
        <row r="38">
          <cell r="C38">
            <v>0</v>
          </cell>
          <cell r="D38">
            <v>0</v>
          </cell>
        </row>
        <row r="39">
          <cell r="C39">
            <v>0</v>
          </cell>
          <cell r="D39">
            <v>0</v>
          </cell>
        </row>
      </sheetData>
      <sheetData sheetId="4" refreshError="1"/>
      <sheetData sheetId="5" refreshError="1"/>
      <sheetData sheetId="6" refreshError="1"/>
      <sheetData sheetId="7">
        <row r="58">
          <cell r="C58">
            <v>0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>
        <row r="18">
          <cell r="E18" t="e">
            <v>#DIV/0!</v>
          </cell>
        </row>
      </sheetData>
      <sheetData sheetId="20" refreshError="1"/>
      <sheetData sheetId="21" refreshError="1"/>
      <sheetData sheetId="22" refreshError="1"/>
      <sheetData sheetId="23">
        <row r="17">
          <cell r="B17">
            <v>0</v>
          </cell>
          <cell r="F17">
            <v>0</v>
          </cell>
        </row>
        <row r="18">
          <cell r="B18">
            <v>0</v>
          </cell>
          <cell r="F18">
            <v>26676.6</v>
          </cell>
        </row>
        <row r="19">
          <cell r="B19">
            <v>0</v>
          </cell>
          <cell r="F19">
            <v>8.1999999999999993</v>
          </cell>
        </row>
        <row r="20">
          <cell r="B20">
            <v>0</v>
          </cell>
          <cell r="F20">
            <v>0</v>
          </cell>
        </row>
        <row r="25">
          <cell r="B25">
            <v>0</v>
          </cell>
          <cell r="F25">
            <v>296249.3</v>
          </cell>
        </row>
        <row r="26">
          <cell r="B26">
            <v>0</v>
          </cell>
          <cell r="F26">
            <v>1718930</v>
          </cell>
        </row>
        <row r="27">
          <cell r="B27">
            <v>0</v>
          </cell>
          <cell r="F27">
            <v>0</v>
          </cell>
        </row>
        <row r="28">
          <cell r="B28">
            <v>0</v>
          </cell>
          <cell r="F28">
            <v>0</v>
          </cell>
        </row>
        <row r="29">
          <cell r="B29">
            <v>0</v>
          </cell>
          <cell r="F29">
            <v>11298.7</v>
          </cell>
        </row>
        <row r="30">
          <cell r="B30">
            <v>0</v>
          </cell>
          <cell r="F30">
            <v>0</v>
          </cell>
        </row>
        <row r="31">
          <cell r="B31">
            <v>0</v>
          </cell>
          <cell r="F31">
            <v>12793.8</v>
          </cell>
        </row>
        <row r="33">
          <cell r="B33">
            <v>0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Свод"/>
      <sheetName val="Коэфф"/>
      <sheetName val="Ф2"/>
      <sheetName val="Ф3"/>
      <sheetName val="Кредит"/>
      <sheetName val="Перемен"/>
      <sheetName val="Постоян"/>
      <sheetName val="Себст"/>
      <sheetName val="Безуб"/>
      <sheetName val="Смета"/>
      <sheetName val="Инвест"/>
      <sheetName val="Штат"/>
      <sheetName val="План пр-ва"/>
      <sheetName val="Продаж"/>
      <sheetName val="Налог"/>
    </sheetNames>
    <sheetDataSet>
      <sheetData sheetId="0">
        <row r="9">
          <cell r="C9">
            <v>165</v>
          </cell>
        </row>
        <row r="11">
          <cell r="C11">
            <v>1332.5</v>
          </cell>
        </row>
      </sheetData>
      <sheetData sheetId="1"/>
      <sheetData sheetId="2"/>
      <sheetData sheetId="3" refreshError="1"/>
      <sheetData sheetId="4"/>
      <sheetData sheetId="5"/>
      <sheetData sheetId="6"/>
      <sheetData sheetId="7" refreshError="1"/>
      <sheetData sheetId="8"/>
      <sheetData sheetId="9" refreshError="1"/>
      <sheetData sheetId="10"/>
      <sheetData sheetId="11" refreshError="1"/>
      <sheetData sheetId="12">
        <row r="6">
          <cell r="A6" t="str">
            <v>Мраморно-цементная плитка Bretonterastone®</v>
          </cell>
        </row>
      </sheetData>
      <sheetData sheetId="13" refreshError="1"/>
      <sheetData sheetId="14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Об пр-ва"/>
      <sheetName val="Осн. пара"/>
      <sheetName val="Осн пар Свод"/>
      <sheetName val="3Ф"/>
      <sheetName val="2Ф"/>
      <sheetName val="Норм"/>
      <sheetName val="ОС"/>
      <sheetName val="Граф строит"/>
      <sheetName val="Пост Рх"/>
      <sheetName val="кредит"/>
      <sheetName val="Глины"/>
      <sheetName val="Рас по тр-ту"/>
      <sheetName val="ЗП"/>
      <sheetName val="IRR NPV"/>
      <sheetName val="Амор"/>
      <sheetName val="влиян топл"/>
      <sheetName val="Себест-ть"/>
      <sheetName val="обоснование"/>
      <sheetName val="цены"/>
    </sheetNames>
    <sheetDataSet>
      <sheetData sheetId="0" refreshError="1"/>
      <sheetData sheetId="1" refreshError="1">
        <row r="2">
          <cell r="C2">
            <v>32.173913043478265</v>
          </cell>
        </row>
        <row r="4">
          <cell r="C4">
            <v>127</v>
          </cell>
        </row>
        <row r="6">
          <cell r="C6">
            <v>5000000</v>
          </cell>
        </row>
        <row r="7">
          <cell r="C7">
            <v>60000000</v>
          </cell>
        </row>
        <row r="8">
          <cell r="C8">
            <v>161</v>
          </cell>
        </row>
        <row r="13">
          <cell r="C13">
            <v>22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ОтырарПлощадьОПиФА"/>
      <sheetName val="ОтырарПлощадьОПродаж"/>
      <sheetName val="объекты общества"/>
      <sheetName val="ОбъектыОбществаПрочиеХвосты"/>
      <sheetName val="ПрочиеОбъектыХвосты"/>
      <sheetName val="объекты обществаКокшетау"/>
      <sheetName val="БалансСебест"/>
      <sheetName val="РеализацияБухгалтерия"/>
      <sheetName val="Штуки"/>
      <sheetName val="Стоимость"/>
      <sheetName val="Поступления"/>
      <sheetName val="ВозвратДебиторки"/>
      <sheetName val="Итого Потоки"/>
      <sheetName val="Цен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/>
      <sheetData sheetId="8" refreshError="1"/>
      <sheetData sheetId="9" refreshError="1"/>
      <sheetData sheetId="10"/>
      <sheetData sheetId="11"/>
      <sheetData sheetId="12"/>
      <sheetData sheetId="1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2" enableFormatConditionsCalculation="0">
    <tabColor rgb="FFFF0000"/>
  </sheetPr>
  <dimension ref="A1:AT144"/>
  <sheetViews>
    <sheetView showGridLines="0" showZeros="0" tabSelected="1" zoomScaleNormal="100" workbookViewId="0">
      <pane xSplit="3" ySplit="6" topLeftCell="AG7" activePane="bottomRight" state="frozen"/>
      <selection activeCell="A34" sqref="A34"/>
      <selection pane="topRight" activeCell="A34" sqref="A34"/>
      <selection pane="bottomLeft" activeCell="A34" sqref="A34"/>
      <selection pane="bottomRight" activeCell="AT53" sqref="AT53"/>
    </sheetView>
  </sheetViews>
  <sheetFormatPr defaultColWidth="8.5703125" defaultRowHeight="12.75" outlineLevelRow="1" outlineLevelCol="1"/>
  <cols>
    <col min="1" max="1" width="37.28515625" style="60" customWidth="1"/>
    <col min="2" max="2" width="10.140625" style="61" customWidth="1"/>
    <col min="3" max="3" width="1.85546875" style="61" customWidth="1"/>
    <col min="4" max="6" width="7.7109375" style="6" hidden="1" customWidth="1" outlineLevel="1"/>
    <col min="7" max="7" width="8.140625" style="57" hidden="1" customWidth="1" outlineLevel="1"/>
    <col min="8" max="8" width="8.140625" style="6" hidden="1" customWidth="1" outlineLevel="1"/>
    <col min="9" max="12" width="7.7109375" style="6" hidden="1" customWidth="1" outlineLevel="1"/>
    <col min="13" max="13" width="7.85546875" style="6" hidden="1" customWidth="1" outlineLevel="1"/>
    <col min="14" max="14" width="7.28515625" style="6" hidden="1" customWidth="1" outlineLevel="1"/>
    <col min="15" max="15" width="7.5703125" style="6" hidden="1" customWidth="1" outlineLevel="1"/>
    <col min="16" max="16" width="8.28515625" style="7" customWidth="1" collapsed="1"/>
    <col min="17" max="28" width="7.5703125" style="6" hidden="1" customWidth="1" outlineLevel="1"/>
    <col min="29" max="29" width="8.7109375" style="7" customWidth="1" collapsed="1"/>
    <col min="30" max="30" width="8.5703125" style="7" customWidth="1"/>
    <col min="31" max="31" width="8.7109375" style="7" customWidth="1"/>
    <col min="32" max="32" width="8.5703125" style="7" customWidth="1"/>
    <col min="33" max="34" width="7.85546875" style="8" bestFit="1" customWidth="1"/>
    <col min="35" max="41" width="8.7109375" style="8" bestFit="1" customWidth="1"/>
    <col min="42" max="16384" width="8.5703125" style="8"/>
  </cols>
  <sheetData>
    <row r="1" spans="1:34">
      <c r="A1" s="62" t="s">
        <v>184</v>
      </c>
      <c r="B1" s="1"/>
      <c r="C1" s="1"/>
      <c r="D1" s="2"/>
      <c r="E1" s="2"/>
      <c r="F1" s="2"/>
      <c r="G1" s="3"/>
      <c r="H1" s="2"/>
      <c r="I1" s="4"/>
      <c r="J1" s="4"/>
      <c r="K1" s="4"/>
      <c r="L1" s="4"/>
      <c r="M1" s="4"/>
      <c r="N1" s="5"/>
      <c r="Q1" s="2"/>
      <c r="R1" s="2"/>
      <c r="S1" s="2"/>
      <c r="T1" s="2"/>
      <c r="U1" s="2"/>
      <c r="V1" s="4"/>
      <c r="W1" s="4"/>
      <c r="X1" s="4"/>
      <c r="Y1" s="4"/>
      <c r="Z1" s="4"/>
      <c r="AA1" s="5"/>
    </row>
    <row r="2" spans="1:34" hidden="1" outlineLevel="1">
      <c r="A2" s="9">
        <f>MAX(F37:AF37)</f>
        <v>19577.9334133312</v>
      </c>
      <c r="B2" s="10">
        <f>MIN(D37:AH37)</f>
        <v>0</v>
      </c>
      <c r="C2" s="1"/>
      <c r="D2" s="2"/>
      <c r="E2" s="2"/>
      <c r="F2" s="2"/>
      <c r="G2" s="3"/>
      <c r="H2" s="2"/>
      <c r="I2" s="4"/>
      <c r="J2" s="4"/>
      <c r="K2" s="4"/>
      <c r="L2" s="4"/>
      <c r="M2" s="4"/>
      <c r="N2" s="5"/>
      <c r="Q2" s="2"/>
      <c r="R2" s="2"/>
      <c r="S2" s="2"/>
      <c r="T2" s="2"/>
      <c r="U2" s="2"/>
      <c r="V2" s="4"/>
      <c r="W2" s="4"/>
      <c r="X2" s="4"/>
      <c r="Y2" s="4"/>
      <c r="Z2" s="4"/>
      <c r="AA2" s="5"/>
    </row>
    <row r="3" spans="1:34" collapsed="1">
      <c r="A3" s="9"/>
      <c r="B3" s="10"/>
      <c r="C3" s="1"/>
      <c r="D3" s="2"/>
      <c r="E3" s="2"/>
      <c r="F3" s="2"/>
      <c r="G3" s="3"/>
      <c r="H3" s="2"/>
      <c r="I3" s="4"/>
      <c r="J3" s="4"/>
      <c r="K3" s="4"/>
      <c r="L3" s="4"/>
      <c r="M3" s="4"/>
      <c r="N3" s="5"/>
      <c r="Q3" s="2"/>
      <c r="R3" s="2"/>
      <c r="S3" s="2"/>
      <c r="T3" s="2"/>
      <c r="U3" s="2"/>
      <c r="V3" s="4"/>
      <c r="W3" s="4"/>
      <c r="X3" s="4"/>
      <c r="Y3" s="4"/>
      <c r="Z3" s="4"/>
      <c r="AA3" s="5"/>
    </row>
    <row r="4" spans="1:34">
      <c r="A4" s="11"/>
      <c r="B4" s="12" t="str">
        <f>Исх!$C$9</f>
        <v>тыс.тг.</v>
      </c>
      <c r="C4" s="1"/>
      <c r="D4" s="2"/>
      <c r="E4" s="2"/>
      <c r="F4" s="3"/>
      <c r="G4" s="3"/>
      <c r="I4" s="13"/>
      <c r="J4" s="2"/>
      <c r="K4" s="2"/>
      <c r="L4" s="14"/>
      <c r="M4" s="2"/>
      <c r="N4" s="2"/>
      <c r="Q4" s="2"/>
      <c r="R4" s="2"/>
      <c r="S4" s="3"/>
      <c r="T4" s="2"/>
      <c r="V4" s="13"/>
      <c r="W4" s="2"/>
      <c r="X4" s="2"/>
      <c r="Y4" s="14"/>
      <c r="Z4" s="2"/>
      <c r="AA4" s="2"/>
    </row>
    <row r="5" spans="1:34" ht="15.75" customHeight="1">
      <c r="A5" s="347" t="s">
        <v>3</v>
      </c>
      <c r="B5" s="349" t="s">
        <v>1</v>
      </c>
      <c r="C5" s="15"/>
      <c r="D5" s="349">
        <v>2012</v>
      </c>
      <c r="E5" s="349"/>
      <c r="F5" s="349"/>
      <c r="G5" s="349"/>
      <c r="H5" s="349"/>
      <c r="I5" s="349"/>
      <c r="J5" s="349"/>
      <c r="K5" s="349"/>
      <c r="L5" s="349"/>
      <c r="M5" s="349"/>
      <c r="N5" s="349"/>
      <c r="O5" s="349"/>
      <c r="P5" s="349"/>
      <c r="Q5" s="349">
        <v>2013</v>
      </c>
      <c r="R5" s="349"/>
      <c r="S5" s="349"/>
      <c r="T5" s="349"/>
      <c r="U5" s="349"/>
      <c r="V5" s="349"/>
      <c r="W5" s="349"/>
      <c r="X5" s="349"/>
      <c r="Y5" s="349"/>
      <c r="Z5" s="349"/>
      <c r="AA5" s="349"/>
      <c r="AB5" s="349"/>
      <c r="AC5" s="349"/>
      <c r="AD5" s="15">
        <v>2014</v>
      </c>
      <c r="AE5" s="15">
        <f>AD5+1</f>
        <v>2015</v>
      </c>
      <c r="AF5" s="15">
        <f>AE5+1</f>
        <v>2016</v>
      </c>
      <c r="AG5" s="15">
        <f>AF5+1</f>
        <v>2017</v>
      </c>
      <c r="AH5" s="15">
        <f>AG5+1</f>
        <v>2018</v>
      </c>
    </row>
    <row r="6" spans="1:34">
      <c r="A6" s="348"/>
      <c r="B6" s="349"/>
      <c r="C6" s="15"/>
      <c r="D6" s="16">
        <v>1</v>
      </c>
      <c r="E6" s="16">
        <f>D6+1</f>
        <v>2</v>
      </c>
      <c r="F6" s="16">
        <f t="shared" ref="F6:O6" si="0">E6+1</f>
        <v>3</v>
      </c>
      <c r="G6" s="16">
        <f t="shared" si="0"/>
        <v>4</v>
      </c>
      <c r="H6" s="16">
        <f t="shared" si="0"/>
        <v>5</v>
      </c>
      <c r="I6" s="16">
        <f t="shared" si="0"/>
        <v>6</v>
      </c>
      <c r="J6" s="16">
        <f t="shared" si="0"/>
        <v>7</v>
      </c>
      <c r="K6" s="16">
        <f t="shared" si="0"/>
        <v>8</v>
      </c>
      <c r="L6" s="16">
        <f t="shared" si="0"/>
        <v>9</v>
      </c>
      <c r="M6" s="16">
        <f t="shared" si="0"/>
        <v>10</v>
      </c>
      <c r="N6" s="16">
        <f t="shared" si="0"/>
        <v>11</v>
      </c>
      <c r="O6" s="16">
        <f t="shared" si="0"/>
        <v>12</v>
      </c>
      <c r="P6" s="15" t="s">
        <v>1</v>
      </c>
      <c r="Q6" s="16">
        <v>1</v>
      </c>
      <c r="R6" s="16">
        <f>Q6+1</f>
        <v>2</v>
      </c>
      <c r="S6" s="16">
        <f t="shared" ref="S6:AB6" si="1">R6+1</f>
        <v>3</v>
      </c>
      <c r="T6" s="16">
        <f t="shared" si="1"/>
        <v>4</v>
      </c>
      <c r="U6" s="16">
        <f t="shared" si="1"/>
        <v>5</v>
      </c>
      <c r="V6" s="16">
        <f t="shared" si="1"/>
        <v>6</v>
      </c>
      <c r="W6" s="16">
        <f t="shared" si="1"/>
        <v>7</v>
      </c>
      <c r="X6" s="16">
        <f t="shared" si="1"/>
        <v>8</v>
      </c>
      <c r="Y6" s="16">
        <f t="shared" si="1"/>
        <v>9</v>
      </c>
      <c r="Z6" s="16">
        <f t="shared" si="1"/>
        <v>10</v>
      </c>
      <c r="AA6" s="16">
        <f t="shared" si="1"/>
        <v>11</v>
      </c>
      <c r="AB6" s="16">
        <f t="shared" si="1"/>
        <v>12</v>
      </c>
      <c r="AC6" s="15" t="s">
        <v>1</v>
      </c>
      <c r="AD6" s="15" t="s">
        <v>126</v>
      </c>
      <c r="AE6" s="15" t="s">
        <v>126</v>
      </c>
      <c r="AF6" s="15" t="s">
        <v>126</v>
      </c>
      <c r="AG6" s="15" t="s">
        <v>126</v>
      </c>
      <c r="AH6" s="15" t="s">
        <v>126</v>
      </c>
    </row>
    <row r="7" spans="1:34" s="21" customFormat="1" ht="25.5">
      <c r="A7" s="17" t="s">
        <v>5</v>
      </c>
      <c r="B7" s="18">
        <f>P7</f>
        <v>0</v>
      </c>
      <c r="C7" s="19"/>
      <c r="D7" s="20">
        <f>C37</f>
        <v>0</v>
      </c>
      <c r="E7" s="20">
        <f t="shared" ref="E7:K7" si="2">D37</f>
        <v>0</v>
      </c>
      <c r="F7" s="20">
        <f t="shared" si="2"/>
        <v>0</v>
      </c>
      <c r="G7" s="20">
        <f t="shared" si="2"/>
        <v>0</v>
      </c>
      <c r="H7" s="20">
        <f t="shared" si="2"/>
        <v>0</v>
      </c>
      <c r="I7" s="20">
        <f t="shared" si="2"/>
        <v>0</v>
      </c>
      <c r="J7" s="20">
        <f t="shared" si="2"/>
        <v>19577.9334133312</v>
      </c>
      <c r="K7" s="20">
        <f t="shared" si="2"/>
        <v>19155.866826662401</v>
      </c>
      <c r="L7" s="20">
        <f>K37</f>
        <v>18733.800239993601</v>
      </c>
      <c r="M7" s="20">
        <f>L37</f>
        <v>18311.733653324802</v>
      </c>
      <c r="N7" s="20">
        <f>M37</f>
        <v>16444.452473866018</v>
      </c>
      <c r="O7" s="20">
        <f>N37</f>
        <v>14583.0359333345</v>
      </c>
      <c r="P7" s="20">
        <f>D7</f>
        <v>0</v>
      </c>
      <c r="Q7" s="20">
        <f>P37</f>
        <v>12727.484031730246</v>
      </c>
      <c r="R7" s="20">
        <f t="shared" ref="R7:AA7" si="3">Q37</f>
        <v>11487.061971952227</v>
      </c>
      <c r="S7" s="20">
        <f t="shared" si="3"/>
        <v>10486.274566913971</v>
      </c>
      <c r="T7" s="20">
        <f t="shared" si="3"/>
        <v>9491.3518008029787</v>
      </c>
      <c r="U7" s="20">
        <f t="shared" si="3"/>
        <v>8502.2936736192514</v>
      </c>
      <c r="V7" s="20">
        <f t="shared" si="3"/>
        <v>7519.1001853627877</v>
      </c>
      <c r="W7" s="20">
        <f t="shared" si="3"/>
        <v>6541.7713360335874</v>
      </c>
      <c r="X7" s="20">
        <f t="shared" si="3"/>
        <v>5570.3071256316507</v>
      </c>
      <c r="Y7" s="20">
        <f t="shared" si="3"/>
        <v>4487.8225462507271</v>
      </c>
      <c r="Z7" s="20">
        <f t="shared" si="3"/>
        <v>3528.0876137033174</v>
      </c>
      <c r="AA7" s="20">
        <f t="shared" si="3"/>
        <v>2574.2173200831712</v>
      </c>
      <c r="AB7" s="20">
        <f>AA37</f>
        <v>1626.211665390289</v>
      </c>
      <c r="AC7" s="20">
        <f>Q7</f>
        <v>12727.484031730246</v>
      </c>
      <c r="AD7" s="20">
        <f>AC37</f>
        <v>684.07064962467052</v>
      </c>
      <c r="AE7" s="20">
        <f>AD37</f>
        <v>4641.7485644602712</v>
      </c>
      <c r="AF7" s="20">
        <f>AE37</f>
        <v>4827.214518779092</v>
      </c>
      <c r="AG7" s="20">
        <f>AF37</f>
        <v>199.3370141520827</v>
      </c>
      <c r="AH7" s="20">
        <f>AG37</f>
        <v>1951.4245460851853</v>
      </c>
    </row>
    <row r="8" spans="1:34" s="21" customFormat="1">
      <c r="A8" s="22" t="s">
        <v>11</v>
      </c>
      <c r="B8" s="23"/>
      <c r="C8" s="23"/>
      <c r="D8" s="24"/>
      <c r="E8" s="24"/>
      <c r="F8" s="24"/>
      <c r="G8" s="25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</row>
    <row r="9" spans="1:34" s="21" customFormat="1">
      <c r="A9" s="26" t="s">
        <v>19</v>
      </c>
      <c r="B9" s="27">
        <f>P9+AC9+AD9+AE9+AF9+AG9+AH9</f>
        <v>205603.85765261838</v>
      </c>
      <c r="C9" s="27"/>
      <c r="D9" s="27">
        <f t="shared" ref="D9:AH9" si="4">SUM(D10:D12)</f>
        <v>0</v>
      </c>
      <c r="E9" s="27">
        <f t="shared" si="4"/>
        <v>0</v>
      </c>
      <c r="F9" s="27">
        <f t="shared" si="4"/>
        <v>0</v>
      </c>
      <c r="G9" s="27">
        <f t="shared" si="4"/>
        <v>954.11331459459439</v>
      </c>
      <c r="H9" s="27">
        <f t="shared" si="4"/>
        <v>954.11331459459439</v>
      </c>
      <c r="I9" s="27">
        <f t="shared" si="4"/>
        <v>954.11331459459439</v>
      </c>
      <c r="J9" s="27">
        <f t="shared" si="4"/>
        <v>954.11331459459439</v>
      </c>
      <c r="K9" s="27">
        <f t="shared" si="4"/>
        <v>954.11331459459439</v>
      </c>
      <c r="L9" s="27">
        <f t="shared" si="4"/>
        <v>954.11331459459439</v>
      </c>
      <c r="M9" s="27">
        <f t="shared" si="4"/>
        <v>954.11331459459439</v>
      </c>
      <c r="N9" s="27">
        <f t="shared" si="4"/>
        <v>954.11331459459439</v>
      </c>
      <c r="O9" s="27">
        <f t="shared" si="4"/>
        <v>954.11331459459439</v>
      </c>
      <c r="P9" s="27">
        <f t="shared" si="4"/>
        <v>8587.0198313513483</v>
      </c>
      <c r="Q9" s="27">
        <f t="shared" si="4"/>
        <v>1846.0925016216215</v>
      </c>
      <c r="R9" s="27">
        <f t="shared" si="4"/>
        <v>1846.0925016216215</v>
      </c>
      <c r="S9" s="27">
        <f t="shared" si="4"/>
        <v>1846.0925016216215</v>
      </c>
      <c r="T9" s="27">
        <f t="shared" si="4"/>
        <v>1846.0925016216215</v>
      </c>
      <c r="U9" s="27">
        <f t="shared" si="4"/>
        <v>1846.0925016216215</v>
      </c>
      <c r="V9" s="27">
        <f t="shared" si="4"/>
        <v>1846.0925016216215</v>
      </c>
      <c r="W9" s="27">
        <f t="shared" si="4"/>
        <v>1846.0925016216215</v>
      </c>
      <c r="X9" s="27">
        <f t="shared" si="4"/>
        <v>1846.0925016216215</v>
      </c>
      <c r="Y9" s="27">
        <f t="shared" si="4"/>
        <v>1846.0925016216215</v>
      </c>
      <c r="Z9" s="27">
        <f t="shared" si="4"/>
        <v>1846.0925016216215</v>
      </c>
      <c r="AA9" s="27">
        <f t="shared" si="4"/>
        <v>1846.0925016216215</v>
      </c>
      <c r="AB9" s="27">
        <f t="shared" si="4"/>
        <v>1846.0925016216215</v>
      </c>
      <c r="AC9" s="27">
        <f t="shared" si="4"/>
        <v>22153.110019459462</v>
      </c>
      <c r="AD9" s="27">
        <f t="shared" si="4"/>
        <v>37081.813904144139</v>
      </c>
      <c r="AE9" s="27">
        <f t="shared" si="4"/>
        <v>32832.612386306304</v>
      </c>
      <c r="AF9" s="27">
        <f t="shared" si="4"/>
        <v>28569.705520317115</v>
      </c>
      <c r="AG9" s="27">
        <f t="shared" si="4"/>
        <v>35238.505692410807</v>
      </c>
      <c r="AH9" s="27">
        <f t="shared" si="4"/>
        <v>41141.090298629191</v>
      </c>
    </row>
    <row r="10" spans="1:34">
      <c r="A10" s="28" t="str">
        <f>'2-ф2'!A6</f>
        <v>Реализация мяса</v>
      </c>
      <c r="B10" s="27">
        <f>P10+AC10+AD10+AE10+AF10+AG10+AH10</f>
        <v>97520.67917045622</v>
      </c>
      <c r="C10" s="27"/>
      <c r="D10" s="29">
        <f>'2-ф2'!D6*Исх!$C$18</f>
        <v>0</v>
      </c>
      <c r="E10" s="29">
        <f>'2-ф2'!E6*Исх!$C$18</f>
        <v>0</v>
      </c>
      <c r="F10" s="29">
        <f>'2-ф2'!F6*Исх!$C$18</f>
        <v>0</v>
      </c>
      <c r="G10" s="29">
        <f>'2-ф2'!G6*Исх!$C$18</f>
        <v>0</v>
      </c>
      <c r="H10" s="29">
        <f>'2-ф2'!H6*Исх!$C$18</f>
        <v>0</v>
      </c>
      <c r="I10" s="29">
        <f>'2-ф2'!I6*Исх!$C$18</f>
        <v>0</v>
      </c>
      <c r="J10" s="29">
        <f>'2-ф2'!J6*Исх!$C$18</f>
        <v>0</v>
      </c>
      <c r="K10" s="29">
        <f>'2-ф2'!K6*Исх!$C$18</f>
        <v>0</v>
      </c>
      <c r="L10" s="29">
        <f>'2-ф2'!L6*Исх!$C$18</f>
        <v>0</v>
      </c>
      <c r="M10" s="29">
        <f>'2-ф2'!M6*Исх!$C$18</f>
        <v>0</v>
      </c>
      <c r="N10" s="29">
        <f>'2-ф2'!N6*Исх!$C$18</f>
        <v>0</v>
      </c>
      <c r="O10" s="29">
        <f>'2-ф2'!O6*Исх!$C$18</f>
        <v>0</v>
      </c>
      <c r="P10" s="27">
        <f>SUM(D10:O10)</f>
        <v>0</v>
      </c>
      <c r="Q10" s="29">
        <f>'2-ф2'!Q6*Исх!$C$18</f>
        <v>891.97918702702702</v>
      </c>
      <c r="R10" s="29">
        <f>'2-ф2'!R6*Исх!$C$18</f>
        <v>891.97918702702702</v>
      </c>
      <c r="S10" s="29">
        <f>'2-ф2'!S6*Исх!$C$18</f>
        <v>891.97918702702702</v>
      </c>
      <c r="T10" s="29">
        <f>'2-ф2'!T6*Исх!$C$18</f>
        <v>891.97918702702702</v>
      </c>
      <c r="U10" s="29">
        <f>'2-ф2'!U6*Исх!$C$18</f>
        <v>891.97918702702702</v>
      </c>
      <c r="V10" s="29">
        <f>'2-ф2'!V6*Исх!$C$18</f>
        <v>891.97918702702702</v>
      </c>
      <c r="W10" s="29">
        <f>'2-ф2'!W6*Исх!$C$18</f>
        <v>891.97918702702702</v>
      </c>
      <c r="X10" s="29">
        <f>'2-ф2'!X6*Исх!$C$18</f>
        <v>891.97918702702702</v>
      </c>
      <c r="Y10" s="29">
        <f>'2-ф2'!Y6*Исх!$C$18</f>
        <v>891.97918702702702</v>
      </c>
      <c r="Z10" s="29">
        <f>'2-ф2'!Z6*Исх!$C$18</f>
        <v>891.97918702702702</v>
      </c>
      <c r="AA10" s="29">
        <f>'2-ф2'!AA6*Исх!$C$18</f>
        <v>891.97918702702702</v>
      </c>
      <c r="AB10" s="29">
        <f>'2-ф2'!AB6*Исх!$C$18</f>
        <v>891.97918702702702</v>
      </c>
      <c r="AC10" s="27">
        <f>SUM(Q10:AB10)</f>
        <v>10703.750244324327</v>
      </c>
      <c r="AD10" s="29">
        <f>'2-ф2'!AD6*Исх!$C$18</f>
        <v>18632.454129009006</v>
      </c>
      <c r="AE10" s="29">
        <f>'2-ф2'!AE6*Исх!$C$18</f>
        <v>12983.25261117117</v>
      </c>
      <c r="AF10" s="29">
        <f>'2-ф2'!AF6*Исх!$C$18</f>
        <v>16420.345745181981</v>
      </c>
      <c r="AG10" s="29">
        <f>'2-ф2'!AG6*Исх!$C$18</f>
        <v>18889.145917275677</v>
      </c>
      <c r="AH10" s="29">
        <f>'2-ф2'!AH6*Исх!$C$18</f>
        <v>19891.730523494054</v>
      </c>
    </row>
    <row r="11" spans="1:34">
      <c r="A11" s="28" t="str">
        <f>'2-ф2'!A7</f>
        <v>Реализация скота в живом весе</v>
      </c>
      <c r="B11" s="27">
        <f>P11+AC11+AD11+AE11+AF11+AG11+AH11</f>
        <v>30800</v>
      </c>
      <c r="C11" s="27"/>
      <c r="D11" s="29">
        <f>'2-ф2'!D7*Исх!$C$18</f>
        <v>0</v>
      </c>
      <c r="E11" s="29">
        <f>'2-ф2'!E7*Исх!$C$18</f>
        <v>0</v>
      </c>
      <c r="F11" s="29">
        <f>'2-ф2'!F7*Исх!$C$18</f>
        <v>0</v>
      </c>
      <c r="G11" s="29">
        <f>'2-ф2'!G7*Исх!$C$18</f>
        <v>0</v>
      </c>
      <c r="H11" s="29">
        <f>'2-ф2'!H7*Исх!$C$18</f>
        <v>0</v>
      </c>
      <c r="I11" s="29">
        <f>'2-ф2'!I7*Исх!$C$18</f>
        <v>0</v>
      </c>
      <c r="J11" s="29">
        <f>'2-ф2'!J7*Исх!$C$18</f>
        <v>0</v>
      </c>
      <c r="K11" s="29">
        <f>'2-ф2'!K7*Исх!$C$18</f>
        <v>0</v>
      </c>
      <c r="L11" s="29">
        <f>'2-ф2'!L7*Исх!$C$18</f>
        <v>0</v>
      </c>
      <c r="M11" s="29">
        <f>'2-ф2'!M7*Исх!$C$18</f>
        <v>0</v>
      </c>
      <c r="N11" s="29">
        <f>'2-ф2'!N7*Исх!$C$18</f>
        <v>0</v>
      </c>
      <c r="O11" s="29">
        <f>'2-ф2'!O7*Исх!$C$18</f>
        <v>0</v>
      </c>
      <c r="P11" s="27">
        <f>SUM(D11:O11)</f>
        <v>0</v>
      </c>
      <c r="Q11" s="29">
        <f>'2-ф2'!Q7*Исх!$C$18</f>
        <v>0</v>
      </c>
      <c r="R11" s="29">
        <f>'2-ф2'!R7*Исх!$C$18</f>
        <v>0</v>
      </c>
      <c r="S11" s="29">
        <f>'2-ф2'!S7*Исх!$C$18</f>
        <v>0</v>
      </c>
      <c r="T11" s="29">
        <f>'2-ф2'!T7*Исх!$C$18</f>
        <v>0</v>
      </c>
      <c r="U11" s="29">
        <f>'2-ф2'!U7*Исх!$C$18</f>
        <v>0</v>
      </c>
      <c r="V11" s="29">
        <f>'2-ф2'!V7*Исх!$C$18</f>
        <v>0</v>
      </c>
      <c r="W11" s="29">
        <f>'2-ф2'!W7*Исх!$C$18</f>
        <v>0</v>
      </c>
      <c r="X11" s="29">
        <f>'2-ф2'!X7*Исх!$C$18</f>
        <v>0</v>
      </c>
      <c r="Y11" s="29">
        <f>'2-ф2'!Y7*Исх!$C$18</f>
        <v>0</v>
      </c>
      <c r="Z11" s="29">
        <f>'2-ф2'!Z7*Исх!$C$18</f>
        <v>0</v>
      </c>
      <c r="AA11" s="29">
        <f>'2-ф2'!AA7*Исх!$C$18</f>
        <v>0</v>
      </c>
      <c r="AB11" s="29">
        <f>'2-ф2'!AB7*Исх!$C$18</f>
        <v>0</v>
      </c>
      <c r="AC11" s="27">
        <f>SUM(Q11:AB11)</f>
        <v>0</v>
      </c>
      <c r="AD11" s="29">
        <f>'2-ф2'!AD7*Исх!$C$18</f>
        <v>7000</v>
      </c>
      <c r="AE11" s="29">
        <f>'2-ф2'!AE7*Исх!$C$18</f>
        <v>8400</v>
      </c>
      <c r="AF11" s="29">
        <f>'2-ф2'!AF7*Исх!$C$18</f>
        <v>699.99999999999989</v>
      </c>
      <c r="AG11" s="29">
        <f>'2-ф2'!AG7*Исх!$C$18</f>
        <v>4900.0000000000009</v>
      </c>
      <c r="AH11" s="29">
        <f>'2-ф2'!AH7*Исх!$C$18</f>
        <v>9800.0000000000018</v>
      </c>
    </row>
    <row r="12" spans="1:34">
      <c r="A12" s="28" t="str">
        <f>'2-ф2'!A8</f>
        <v>Услуги по забою скота</v>
      </c>
      <c r="B12" s="27">
        <f>P12+AC12+AD12+AE12+AF12+AG12+AH12</f>
        <v>77283.17848216214</v>
      </c>
      <c r="C12" s="27"/>
      <c r="D12" s="29">
        <f>'2-ф2'!D8*Исх!$C$18</f>
        <v>0</v>
      </c>
      <c r="E12" s="29">
        <f>'2-ф2'!E8*Исх!$C$18</f>
        <v>0</v>
      </c>
      <c r="F12" s="29">
        <f>'2-ф2'!F8*Исх!$C$18</f>
        <v>0</v>
      </c>
      <c r="G12" s="29">
        <f>'2-ф2'!G8*Исх!$C$18</f>
        <v>954.11331459459439</v>
      </c>
      <c r="H12" s="29">
        <f>'2-ф2'!H8*Исх!$C$18</f>
        <v>954.11331459459439</v>
      </c>
      <c r="I12" s="29">
        <f>'2-ф2'!I8*Исх!$C$18</f>
        <v>954.11331459459439</v>
      </c>
      <c r="J12" s="29">
        <f>'2-ф2'!J8*Исх!$C$18</f>
        <v>954.11331459459439</v>
      </c>
      <c r="K12" s="29">
        <f>'2-ф2'!K8*Исх!$C$18</f>
        <v>954.11331459459439</v>
      </c>
      <c r="L12" s="29">
        <f>'2-ф2'!L8*Исх!$C$18</f>
        <v>954.11331459459439</v>
      </c>
      <c r="M12" s="29">
        <f>'2-ф2'!M8*Исх!$C$18</f>
        <v>954.11331459459439</v>
      </c>
      <c r="N12" s="29">
        <f>'2-ф2'!N8*Исх!$C$18</f>
        <v>954.11331459459439</v>
      </c>
      <c r="O12" s="29">
        <f>'2-ф2'!O8*Исх!$C$18</f>
        <v>954.11331459459439</v>
      </c>
      <c r="P12" s="27">
        <f>SUM(D12:O12)</f>
        <v>8587.0198313513483</v>
      </c>
      <c r="Q12" s="29">
        <f>'2-ф2'!Q8*Исх!$C$18</f>
        <v>954.11331459459439</v>
      </c>
      <c r="R12" s="29">
        <f>'2-ф2'!R8*Исх!$C$18</f>
        <v>954.11331459459439</v>
      </c>
      <c r="S12" s="29">
        <f>'2-ф2'!S8*Исх!$C$18</f>
        <v>954.11331459459439</v>
      </c>
      <c r="T12" s="29">
        <f>'2-ф2'!T8*Исх!$C$18</f>
        <v>954.11331459459439</v>
      </c>
      <c r="U12" s="29">
        <f>'2-ф2'!U8*Исх!$C$18</f>
        <v>954.11331459459439</v>
      </c>
      <c r="V12" s="29">
        <f>'2-ф2'!V8*Исх!$C$18</f>
        <v>954.11331459459439</v>
      </c>
      <c r="W12" s="29">
        <f>'2-ф2'!W8*Исх!$C$18</f>
        <v>954.11331459459439</v>
      </c>
      <c r="X12" s="29">
        <f>'2-ф2'!X8*Исх!$C$18</f>
        <v>954.11331459459439</v>
      </c>
      <c r="Y12" s="29">
        <f>'2-ф2'!Y8*Исх!$C$18</f>
        <v>954.11331459459439</v>
      </c>
      <c r="Z12" s="29">
        <f>'2-ф2'!Z8*Исх!$C$18</f>
        <v>954.11331459459439</v>
      </c>
      <c r="AA12" s="29">
        <f>'2-ф2'!AA8*Исх!$C$18</f>
        <v>954.11331459459439</v>
      </c>
      <c r="AB12" s="29">
        <f>'2-ф2'!AB8*Исх!$C$18</f>
        <v>954.11331459459439</v>
      </c>
      <c r="AC12" s="27">
        <f>SUM(Q12:AB12)</f>
        <v>11449.359775135134</v>
      </c>
      <c r="AD12" s="29">
        <f>'2-ф2'!AD8*Исх!$C$18</f>
        <v>11449.359775135134</v>
      </c>
      <c r="AE12" s="29">
        <f>'2-ф2'!AE8*Исх!$C$18</f>
        <v>11449.359775135134</v>
      </c>
      <c r="AF12" s="29">
        <f>'2-ф2'!AF8*Исх!$C$18</f>
        <v>11449.359775135134</v>
      </c>
      <c r="AG12" s="29">
        <f>'2-ф2'!AG8*Исх!$C$18</f>
        <v>11449.359775135134</v>
      </c>
      <c r="AH12" s="29">
        <f>'2-ф2'!AH8*Исх!$C$18</f>
        <v>11449.359775135134</v>
      </c>
    </row>
    <row r="13" spans="1:34" s="21" customFormat="1">
      <c r="A13" s="30" t="s">
        <v>6</v>
      </c>
      <c r="B13" s="27">
        <f t="shared" ref="B13:B19" si="5">P13+AC13+AD13+AE13+AF13+AG13+AH13</f>
        <v>141844.76432317868</v>
      </c>
      <c r="C13" s="27"/>
      <c r="D13" s="31">
        <f t="shared" ref="D13:AH13" si="6">SUM(D14:D19)</f>
        <v>0</v>
      </c>
      <c r="E13" s="31">
        <f t="shared" si="6"/>
        <v>0</v>
      </c>
      <c r="F13" s="31">
        <f t="shared" si="6"/>
        <v>652.07611274999977</v>
      </c>
      <c r="G13" s="31">
        <f t="shared" si="6"/>
        <v>1376.1799012633928</v>
      </c>
      <c r="H13" s="31">
        <f t="shared" si="6"/>
        <v>1376.1799012633928</v>
      </c>
      <c r="I13" s="31">
        <f t="shared" si="6"/>
        <v>1376.1799012633928</v>
      </c>
      <c r="J13" s="31">
        <f t="shared" si="6"/>
        <v>1376.1799012633928</v>
      </c>
      <c r="K13" s="31">
        <f t="shared" si="6"/>
        <v>1376.1799012633928</v>
      </c>
      <c r="L13" s="31">
        <f t="shared" si="6"/>
        <v>1376.1799012633928</v>
      </c>
      <c r="M13" s="31">
        <f t="shared" si="6"/>
        <v>1816.0278208081704</v>
      </c>
      <c r="N13" s="31">
        <f t="shared" si="6"/>
        <v>1810.1631818809067</v>
      </c>
      <c r="O13" s="31">
        <f t="shared" si="6"/>
        <v>1804.2985429536429</v>
      </c>
      <c r="P13" s="31">
        <f t="shared" si="6"/>
        <v>14339.645065973076</v>
      </c>
      <c r="Q13" s="31">
        <f t="shared" si="6"/>
        <v>2081.1478881544353</v>
      </c>
      <c r="R13" s="31">
        <f t="shared" si="6"/>
        <v>1841.5132334146715</v>
      </c>
      <c r="S13" s="31">
        <f t="shared" si="6"/>
        <v>1835.6485944874078</v>
      </c>
      <c r="T13" s="31">
        <f t="shared" si="6"/>
        <v>1829.783955560144</v>
      </c>
      <c r="U13" s="31">
        <f t="shared" si="6"/>
        <v>1823.9193166328803</v>
      </c>
      <c r="V13" s="31">
        <f t="shared" si="6"/>
        <v>1818.0546777056165</v>
      </c>
      <c r="W13" s="31">
        <f t="shared" si="6"/>
        <v>1812.1900387783528</v>
      </c>
      <c r="X13" s="31">
        <f t="shared" si="6"/>
        <v>1923.2104077573392</v>
      </c>
      <c r="Y13" s="31">
        <f t="shared" si="6"/>
        <v>1800.4607609238255</v>
      </c>
      <c r="Z13" s="31">
        <f t="shared" si="6"/>
        <v>1794.5961219965618</v>
      </c>
      <c r="AA13" s="31">
        <f t="shared" si="6"/>
        <v>1788.7314830692981</v>
      </c>
      <c r="AB13" s="31">
        <f t="shared" si="6"/>
        <v>1782.8668441420343</v>
      </c>
      <c r="AC13" s="31">
        <f t="shared" si="6"/>
        <v>22132.123322622567</v>
      </c>
      <c r="AD13" s="31">
        <f t="shared" si="6"/>
        <v>21059.735910366071</v>
      </c>
      <c r="AE13" s="31">
        <f t="shared" si="6"/>
        <v>20582.746353045015</v>
      </c>
      <c r="AF13" s="31">
        <f t="shared" si="6"/>
        <v>21133.182946001656</v>
      </c>
      <c r="AG13" s="31">
        <f t="shared" si="6"/>
        <v>21422.018081535236</v>
      </c>
      <c r="AH13" s="31">
        <f t="shared" si="6"/>
        <v>21175.312643635058</v>
      </c>
    </row>
    <row r="14" spans="1:34">
      <c r="A14" s="28" t="str">
        <f>'2-ф2'!A10</f>
        <v>Корма</v>
      </c>
      <c r="B14" s="27">
        <f t="shared" si="5"/>
        <v>21631.461660839374</v>
      </c>
      <c r="C14" s="32"/>
      <c r="D14" s="29">
        <f>'2-ф2'!D10*Исх!$C$18</f>
        <v>0</v>
      </c>
      <c r="E14" s="29">
        <f>'2-ф2'!E10*Исх!$C$18</f>
        <v>0</v>
      </c>
      <c r="F14" s="33">
        <f>O14*3</f>
        <v>652.07611274999977</v>
      </c>
      <c r="G14" s="29">
        <f>'2-ф2'!G10*Исх!$C$18</f>
        <v>217.35870424999993</v>
      </c>
      <c r="H14" s="29">
        <f>'2-ф2'!H10*Исх!$C$18</f>
        <v>217.35870424999993</v>
      </c>
      <c r="I14" s="29">
        <f>'2-ф2'!I10*Исх!$C$18</f>
        <v>217.35870424999993</v>
      </c>
      <c r="J14" s="29">
        <f>'2-ф2'!J10*Исх!$C$18</f>
        <v>217.35870424999993</v>
      </c>
      <c r="K14" s="29">
        <f>'2-ф2'!K10*Исх!$C$18</f>
        <v>217.35870424999993</v>
      </c>
      <c r="L14" s="29">
        <f>'2-ф2'!L10*Исх!$C$18</f>
        <v>217.35870424999993</v>
      </c>
      <c r="M14" s="29">
        <f>'2-ф2'!M10*Исх!$C$18</f>
        <v>217.35870424999993</v>
      </c>
      <c r="N14" s="29">
        <f>'2-ф2'!N10*Исх!$C$18</f>
        <v>217.35870424999993</v>
      </c>
      <c r="O14" s="29">
        <f>'2-ф2'!O10*Исх!$C$18</f>
        <v>217.35870424999993</v>
      </c>
      <c r="P14" s="27">
        <f t="shared" ref="P14:P19" si="7">SUM(D14:O14)</f>
        <v>2608.3044509999986</v>
      </c>
      <c r="Q14" s="29">
        <f>'2-ф2'!Q10*Исх!$C$18*2</f>
        <v>467.54003162499998</v>
      </c>
      <c r="R14" s="29">
        <f>'2-ф2'!R10*Исх!$C$18</f>
        <v>233.77001581249999</v>
      </c>
      <c r="S14" s="29">
        <f>'2-ф2'!S10*Исх!$C$18</f>
        <v>233.77001581249999</v>
      </c>
      <c r="T14" s="29">
        <f>'2-ф2'!T10*Исх!$C$18</f>
        <v>233.77001581249999</v>
      </c>
      <c r="U14" s="29">
        <f>'2-ф2'!U10*Исх!$C$18</f>
        <v>233.77001581249999</v>
      </c>
      <c r="V14" s="29">
        <f>'2-ф2'!V10*Исх!$C$18</f>
        <v>233.77001581249999</v>
      </c>
      <c r="W14" s="29">
        <f>'2-ф2'!W10*Исх!$C$18</f>
        <v>233.77001581249999</v>
      </c>
      <c r="X14" s="29">
        <f>'2-ф2'!X10*Исх!$C$18*1.5</f>
        <v>350.65502371874999</v>
      </c>
      <c r="Y14" s="29">
        <f>'2-ф2'!Y10*Исх!$C$18</f>
        <v>233.77001581249999</v>
      </c>
      <c r="Z14" s="29">
        <f>'2-ф2'!Z10*Исх!$C$18</f>
        <v>233.77001581249999</v>
      </c>
      <c r="AA14" s="29">
        <f>'2-ф2'!AA10*Исх!$C$18</f>
        <v>233.77001581249999</v>
      </c>
      <c r="AB14" s="29">
        <f>'2-ф2'!AB10*Исх!$C$18</f>
        <v>233.77001581249999</v>
      </c>
      <c r="AC14" s="27">
        <f t="shared" ref="AC14:AC19" si="8">SUM(Q14:AB14)</f>
        <v>3155.8952134687488</v>
      </c>
      <c r="AD14" s="29">
        <f>'2-ф2'!AD10*Исх!$C$18+AB14/2</f>
        <v>2914.8312814062497</v>
      </c>
      <c r="AE14" s="29">
        <f>'2-ф2'!AE10*Исх!$C$18+AB14</f>
        <v>3108.9588623999994</v>
      </c>
      <c r="AF14" s="29">
        <f>'2-ф2'!AF10*Исх!$C$18+AB14/2</f>
        <v>3235.1071439437501</v>
      </c>
      <c r="AG14" s="29">
        <f>'2-ф2'!AG10*Исх!$C$18</f>
        <v>3303.3818470018755</v>
      </c>
      <c r="AH14" s="29">
        <f>'2-ф2'!AH10*Исх!$C$18</f>
        <v>3304.982861618751</v>
      </c>
    </row>
    <row r="15" spans="1:34">
      <c r="A15" s="28" t="str">
        <f>'2-ф2'!A11</f>
        <v>Сдельная заработная плата</v>
      </c>
      <c r="B15" s="27">
        <f>P15+AC15+AD15+AE15+AF15+AG15+AH15</f>
        <v>37502.597914449667</v>
      </c>
      <c r="C15" s="32"/>
      <c r="D15" s="29">
        <f>'2-ф2'!D11</f>
        <v>0</v>
      </c>
      <c r="E15" s="29">
        <f>'2-ф2'!E11</f>
        <v>0</v>
      </c>
      <c r="F15" s="29">
        <f>'2-ф2'!F11</f>
        <v>0</v>
      </c>
      <c r="G15" s="29">
        <f>'2-ф2'!G11</f>
        <v>404.31719999999996</v>
      </c>
      <c r="H15" s="29">
        <f>'2-ф2'!H11</f>
        <v>404.31719999999996</v>
      </c>
      <c r="I15" s="29">
        <f>'2-ф2'!I11</f>
        <v>404.31719999999996</v>
      </c>
      <c r="J15" s="29">
        <f>'2-ф2'!J11</f>
        <v>404.31719999999996</v>
      </c>
      <c r="K15" s="29">
        <f>'2-ф2'!K11</f>
        <v>404.31719999999996</v>
      </c>
      <c r="L15" s="29">
        <f>'2-ф2'!L11</f>
        <v>404.31719999999996</v>
      </c>
      <c r="M15" s="29">
        <f>'2-ф2'!M11</f>
        <v>404.31719999999996</v>
      </c>
      <c r="N15" s="29">
        <f>'2-ф2'!N11</f>
        <v>404.31719999999996</v>
      </c>
      <c r="O15" s="29">
        <f>'2-ф2'!O11</f>
        <v>404.31719999999996</v>
      </c>
      <c r="P15" s="27">
        <f>SUM(D15:O15)</f>
        <v>3638.8547999999996</v>
      </c>
      <c r="Q15" s="29">
        <f>'2-ф2'!Q11</f>
        <v>434.84450536912749</v>
      </c>
      <c r="R15" s="29">
        <f>'2-ф2'!R11</f>
        <v>434.84450536912749</v>
      </c>
      <c r="S15" s="29">
        <f>'2-ф2'!S11</f>
        <v>434.84450536912749</v>
      </c>
      <c r="T15" s="29">
        <f>'2-ф2'!T11</f>
        <v>434.84450536912749</v>
      </c>
      <c r="U15" s="29">
        <f>'2-ф2'!U11</f>
        <v>434.84450536912749</v>
      </c>
      <c r="V15" s="29">
        <f>'2-ф2'!V11</f>
        <v>434.84450536912749</v>
      </c>
      <c r="W15" s="29">
        <f>'2-ф2'!W11</f>
        <v>434.84450536912749</v>
      </c>
      <c r="X15" s="29">
        <f>'2-ф2'!X11</f>
        <v>434.84450536912749</v>
      </c>
      <c r="Y15" s="29">
        <f>'2-ф2'!Y11</f>
        <v>434.84450536912749</v>
      </c>
      <c r="Z15" s="29">
        <f>'2-ф2'!Z11</f>
        <v>434.84450536912749</v>
      </c>
      <c r="AA15" s="29">
        <f>'2-ф2'!AA11</f>
        <v>434.84450536912749</v>
      </c>
      <c r="AB15" s="29">
        <f>'2-ф2'!AB11</f>
        <v>434.84450536912749</v>
      </c>
      <c r="AC15" s="27">
        <f>SUM(Q15:AB15)</f>
        <v>5218.1340644295296</v>
      </c>
      <c r="AD15" s="29">
        <f>'2-ф2'!AD11</f>
        <v>5204.5663731543627</v>
      </c>
      <c r="AE15" s="29">
        <f>'2-ф2'!AE11</f>
        <v>5348.248223758389</v>
      </c>
      <c r="AF15" s="29">
        <f>'2-ф2'!AF11</f>
        <v>5800.3236970469798</v>
      </c>
      <c r="AG15" s="29">
        <f>'2-ф2'!AG11</f>
        <v>6144.7463239127519</v>
      </c>
      <c r="AH15" s="29">
        <f>'2-ф2'!AH11</f>
        <v>6147.724432147651</v>
      </c>
    </row>
    <row r="16" spans="1:34">
      <c r="A16" s="28" t="s">
        <v>166</v>
      </c>
      <c r="B16" s="27">
        <f t="shared" si="5"/>
        <v>61724.243871634826</v>
      </c>
      <c r="C16" s="27"/>
      <c r="D16" s="29"/>
      <c r="E16" s="29"/>
      <c r="F16" s="29"/>
      <c r="G16" s="29">
        <f>(Пост!$C$15-Пост!$C$6)*Исх!$C$18+Пост!$C$6+Пост!$C$17+Пост!$C$20</f>
        <v>754.5039970133929</v>
      </c>
      <c r="H16" s="29">
        <f>(Пост!$C$15-Пост!$C$6)*Исх!$C$18+Пост!$C$6+Пост!$C$17+Пост!$C$20</f>
        <v>754.5039970133929</v>
      </c>
      <c r="I16" s="29">
        <f>(Пост!$C$15-Пост!$C$6)*Исх!$C$18+Пост!$C$6+Пост!$C$17+Пост!$C$20</f>
        <v>754.5039970133929</v>
      </c>
      <c r="J16" s="29">
        <f>(Пост!$C$15-Пост!$C$6)*Исх!$C$18+Пост!$C$6+Пост!$C$17+Пост!$C$20</f>
        <v>754.5039970133929</v>
      </c>
      <c r="K16" s="29">
        <f>(Пост!$C$15-Пост!$C$6)*Исх!$C$18+Пост!$C$6+Пост!$C$17+Пост!$C$20</f>
        <v>754.5039970133929</v>
      </c>
      <c r="L16" s="29">
        <f>(Пост!$C$15-Пост!$C$6)*Исх!$C$18+Пост!$C$6+Пост!$C$17+Пост!$C$20</f>
        <v>754.5039970133929</v>
      </c>
      <c r="M16" s="29">
        <f>(Пост!$C$15-Пост!$C$6)*Исх!$C$18+Пост!$C$6+Пост!$C$17+Пост!$C$20</f>
        <v>754.5039970133929</v>
      </c>
      <c r="N16" s="29">
        <f>(Пост!$C$15-Пост!$C$6)*Исх!$C$18+Пост!$C$6+Пост!$C$17+Пост!$C$20</f>
        <v>754.5039970133929</v>
      </c>
      <c r="O16" s="29">
        <f>(Пост!$C$15-Пост!$C$6)*Исх!$C$18+Пост!$C$6+Пост!$C$17+Пост!$C$20</f>
        <v>754.5039970133929</v>
      </c>
      <c r="P16" s="27">
        <f t="shared" si="7"/>
        <v>6790.5359731205363</v>
      </c>
      <c r="Q16" s="29">
        <f>(Пост!$D$15-Пост!$D$6)*Исх!$C$18+Пост!$D$6+Пост!$D$17+Пост!$D$20</f>
        <v>756.50934839732156</v>
      </c>
      <c r="R16" s="29">
        <f>(Пост!$D$15-Пост!$D$6)*Исх!$C$18+Пост!$D$6+Пост!$D$17+Пост!$D$20</f>
        <v>756.50934839732156</v>
      </c>
      <c r="S16" s="29">
        <f>(Пост!$D$15-Пост!$D$6)*Исх!$C$18+Пост!$D$6+Пост!$D$17+Пост!$D$20</f>
        <v>756.50934839732156</v>
      </c>
      <c r="T16" s="29">
        <f>(Пост!$D$15-Пост!$D$6)*Исх!$C$18+Пост!$D$6+Пост!$D$17+Пост!$D$20</f>
        <v>756.50934839732156</v>
      </c>
      <c r="U16" s="29">
        <f>(Пост!$D$15-Пост!$D$6)*Исх!$C$18+Пост!$D$6+Пост!$D$17+Пост!$D$20</f>
        <v>756.50934839732156</v>
      </c>
      <c r="V16" s="29">
        <f>(Пост!$D$15-Пост!$D$6)*Исх!$C$18+Пост!$D$6+Пост!$D$17+Пост!$D$20</f>
        <v>756.50934839732156</v>
      </c>
      <c r="W16" s="29">
        <f>(Пост!$D$15-Пост!$D$6)*Исх!$C$18+Пост!$D$6+Пост!$D$17+Пост!$D$20</f>
        <v>756.50934839732156</v>
      </c>
      <c r="X16" s="29">
        <f>(Пост!$D$15-Пост!$D$6)*Исх!$C$18+Пост!$D$6+Пост!$D$17+Пост!$D$20</f>
        <v>756.50934839732156</v>
      </c>
      <c r="Y16" s="29">
        <f>(Пост!$D$15-Пост!$D$6)*Исх!$C$18+Пост!$D$6+Пост!$D$17+Пост!$D$20</f>
        <v>756.50934839732156</v>
      </c>
      <c r="Z16" s="29">
        <f>(Пост!$D$15-Пост!$D$6)*Исх!$C$18+Пост!$D$6+Пост!$D$17+Пост!$D$20</f>
        <v>756.50934839732156</v>
      </c>
      <c r="AA16" s="29">
        <f>(Пост!$D$15-Пост!$D$6)*Исх!$C$18+Пост!$D$6+Пост!$D$17+Пост!$D$20</f>
        <v>756.50934839732156</v>
      </c>
      <c r="AB16" s="29">
        <f>(Пост!$D$15-Пост!$D$6)*Исх!$C$18+Пост!$D$6+Пост!$D$17+Пост!$D$20</f>
        <v>756.50934839732156</v>
      </c>
      <c r="AC16" s="27">
        <f t="shared" si="8"/>
        <v>9078.1121807678592</v>
      </c>
      <c r="AD16" s="29">
        <f>((Пост!E15-Пост!E6)*Исх!$C$18+Пост!E6+Пост!E17+Пост!E20)*12</f>
        <v>9104.8643973750022</v>
      </c>
      <c r="AE16" s="29">
        <f>((Пост!F15-Пост!F6)*Исх!$C$18+Пост!F6+Пост!F17+Пост!F20)*12</f>
        <v>9134.5734139821416</v>
      </c>
      <c r="AF16" s="29">
        <f>((Пост!G15-Пост!G6)*Исх!$C$18+Пост!G6+Пост!G17+Пост!G20)*12</f>
        <v>9167.5349105892856</v>
      </c>
      <c r="AG16" s="29">
        <f>((Пост!H15-Пост!H6)*Исх!$C$18+Пост!H6+Пост!H17+Пост!H20)*12</f>
        <v>9204.0741351964298</v>
      </c>
      <c r="AH16" s="29">
        <f>((Пост!I15-Пост!I6)*Исх!$C$18+Пост!I6+Пост!I17+Пост!I20)*12</f>
        <v>9244.5488606035724</v>
      </c>
    </row>
    <row r="17" spans="1:34">
      <c r="A17" s="28" t="s">
        <v>59</v>
      </c>
      <c r="B17" s="27">
        <f t="shared" si="5"/>
        <v>16714.220942701544</v>
      </c>
      <c r="C17" s="27"/>
      <c r="D17" s="29">
        <f>кр!C11</f>
        <v>0</v>
      </c>
      <c r="E17" s="29">
        <f>кр!D11</f>
        <v>0</v>
      </c>
      <c r="F17" s="29">
        <f>кр!E11</f>
        <v>0</v>
      </c>
      <c r="G17" s="29">
        <f>кр!F11</f>
        <v>0</v>
      </c>
      <c r="H17" s="29">
        <f>кр!G11</f>
        <v>0</v>
      </c>
      <c r="I17" s="29">
        <f>кр!H11</f>
        <v>0</v>
      </c>
      <c r="J17" s="29">
        <f>кр!I11</f>
        <v>0</v>
      </c>
      <c r="K17" s="29">
        <f>кр!J11</f>
        <v>0</v>
      </c>
      <c r="L17" s="29">
        <f>кр!K11</f>
        <v>0</v>
      </c>
      <c r="M17" s="29">
        <f>кр!L11</f>
        <v>439.84791954477754</v>
      </c>
      <c r="N17" s="29">
        <f>кр!M11</f>
        <v>433.9832806175138</v>
      </c>
      <c r="O17" s="29">
        <f>кр!N11</f>
        <v>428.11864169025006</v>
      </c>
      <c r="P17" s="27">
        <f t="shared" si="7"/>
        <v>1301.9498418525413</v>
      </c>
      <c r="Q17" s="29">
        <f>кр!P11</f>
        <v>422.25400276298637</v>
      </c>
      <c r="R17" s="29">
        <f>кр!Q11</f>
        <v>416.38936383572263</v>
      </c>
      <c r="S17" s="29">
        <f>кр!R11</f>
        <v>410.52472490845889</v>
      </c>
      <c r="T17" s="29">
        <f>кр!S11</f>
        <v>404.66008598119515</v>
      </c>
      <c r="U17" s="29">
        <f>кр!T11</f>
        <v>398.79544705393141</v>
      </c>
      <c r="V17" s="29">
        <f>кр!U11</f>
        <v>392.93080812666767</v>
      </c>
      <c r="W17" s="29">
        <f>кр!V11</f>
        <v>387.06616919940393</v>
      </c>
      <c r="X17" s="29">
        <f>кр!W11</f>
        <v>381.20153027214025</v>
      </c>
      <c r="Y17" s="29">
        <f>кр!X11</f>
        <v>375.33689134487662</v>
      </c>
      <c r="Z17" s="29">
        <f>кр!Y11</f>
        <v>369.47225241761288</v>
      </c>
      <c r="AA17" s="29">
        <f>кр!Z11</f>
        <v>363.60761349034919</v>
      </c>
      <c r="AB17" s="29">
        <f>кр!AA11</f>
        <v>357.74297456308551</v>
      </c>
      <c r="AC17" s="27">
        <f t="shared" si="8"/>
        <v>4679.9818639564301</v>
      </c>
      <c r="AD17" s="34">
        <f>кр!AO11</f>
        <v>3835.4738584304578</v>
      </c>
      <c r="AE17" s="34">
        <f>кр!BB11</f>
        <v>2990.9658529044868</v>
      </c>
      <c r="AF17" s="34">
        <f>кр!BO11</f>
        <v>2146.4578473785155</v>
      </c>
      <c r="AG17" s="34">
        <f>кр!CB11</f>
        <v>1301.9498418525441</v>
      </c>
      <c r="AH17" s="34">
        <f>кр!CO11</f>
        <v>457.44183632657155</v>
      </c>
    </row>
    <row r="18" spans="1:34">
      <c r="A18" s="28" t="s">
        <v>20</v>
      </c>
      <c r="B18" s="27">
        <f t="shared" si="5"/>
        <v>1525.2756716948429</v>
      </c>
      <c r="C18" s="27"/>
      <c r="D18" s="29">
        <f>'2-ф2'!D17</f>
        <v>0</v>
      </c>
      <c r="E18" s="29">
        <f>'2-ф2'!E17</f>
        <v>0</v>
      </c>
      <c r="F18" s="29">
        <f>'2-ф2'!F17</f>
        <v>0</v>
      </c>
      <c r="G18" s="29">
        <f>'2-ф2'!G17</f>
        <v>0</v>
      </c>
      <c r="H18" s="29">
        <f>'2-ф2'!H17</f>
        <v>0</v>
      </c>
      <c r="I18" s="29">
        <f>'2-ф2'!I17</f>
        <v>0</v>
      </c>
      <c r="J18" s="29">
        <f>'2-ф2'!J17</f>
        <v>0</v>
      </c>
      <c r="K18" s="29">
        <f>'2-ф2'!K17</f>
        <v>0</v>
      </c>
      <c r="L18" s="29">
        <f>'2-ф2'!L17</f>
        <v>0</v>
      </c>
      <c r="M18" s="29">
        <f>'2-ф2'!M17</f>
        <v>0</v>
      </c>
      <c r="N18" s="29">
        <f>'2-ф2'!N17</f>
        <v>0</v>
      </c>
      <c r="O18" s="29">
        <f>'2-ф2'!O17</f>
        <v>0</v>
      </c>
      <c r="P18" s="27">
        <f t="shared" si="7"/>
        <v>0</v>
      </c>
      <c r="Q18" s="29">
        <f>'2-ф2'!Q17</f>
        <v>0</v>
      </c>
      <c r="R18" s="29">
        <f>'2-ф2'!R17</f>
        <v>0</v>
      </c>
      <c r="S18" s="29">
        <f>'2-ф2'!S17</f>
        <v>0</v>
      </c>
      <c r="T18" s="29">
        <f>'2-ф2'!T17</f>
        <v>0</v>
      </c>
      <c r="U18" s="29">
        <f>'2-ф2'!U17</f>
        <v>0</v>
      </c>
      <c r="V18" s="29">
        <f>'2-ф2'!V17</f>
        <v>0</v>
      </c>
      <c r="W18" s="29">
        <f>'2-ф2'!W17</f>
        <v>0</v>
      </c>
      <c r="X18" s="29">
        <f>'2-ф2'!X17</f>
        <v>0</v>
      </c>
      <c r="Y18" s="29">
        <f>'2-ф2'!Y17</f>
        <v>0</v>
      </c>
      <c r="Z18" s="29">
        <f>'2-ф2'!Z17</f>
        <v>0</v>
      </c>
      <c r="AA18" s="29">
        <f>'2-ф2'!AA17</f>
        <v>0</v>
      </c>
      <c r="AB18" s="29">
        <f>'2-ф2'!AB17</f>
        <v>0</v>
      </c>
      <c r="AC18" s="27">
        <f t="shared" si="8"/>
        <v>0</v>
      </c>
      <c r="AD18" s="29">
        <f>'2-ф2'!AD17</f>
        <v>0</v>
      </c>
      <c r="AE18" s="29">
        <f>'2-ф2'!AE17</f>
        <v>0</v>
      </c>
      <c r="AF18" s="29">
        <f>'2-ф2'!AF17</f>
        <v>124.15385439389138</v>
      </c>
      <c r="AG18" s="29">
        <f>'2-ф2'!AG17</f>
        <v>518.32804494063191</v>
      </c>
      <c r="AH18" s="29">
        <f>'2-ф2'!AH17</f>
        <v>882.79377236031962</v>
      </c>
    </row>
    <row r="19" spans="1:34">
      <c r="A19" s="28" t="s">
        <v>38</v>
      </c>
      <c r="B19" s="27">
        <f t="shared" si="5"/>
        <v>2746.9642618584312</v>
      </c>
      <c r="C19" s="27"/>
      <c r="D19" s="29">
        <f>'2-ф2'!D32</f>
        <v>0</v>
      </c>
      <c r="E19" s="29">
        <f>'2-ф2'!E32</f>
        <v>0</v>
      </c>
      <c r="F19" s="29">
        <f>'2-ф2'!F32</f>
        <v>0</v>
      </c>
      <c r="G19" s="29">
        <f>'2-ф2'!G32</f>
        <v>0</v>
      </c>
      <c r="H19" s="29">
        <f>'2-ф2'!H32</f>
        <v>0</v>
      </c>
      <c r="I19" s="29">
        <f>'2-ф2'!I32</f>
        <v>0</v>
      </c>
      <c r="J19" s="29">
        <f>'2-ф2'!J32</f>
        <v>0</v>
      </c>
      <c r="K19" s="29">
        <f>'2-ф2'!K32</f>
        <v>0</v>
      </c>
      <c r="L19" s="29">
        <f>'2-ф2'!L32</f>
        <v>0</v>
      </c>
      <c r="M19" s="29">
        <f>'2-ф2'!M32</f>
        <v>0</v>
      </c>
      <c r="N19" s="29">
        <f>'2-ф2'!N32</f>
        <v>0</v>
      </c>
      <c r="O19" s="29">
        <f>'2-ф2'!O32</f>
        <v>0</v>
      </c>
      <c r="P19" s="27">
        <f t="shared" si="7"/>
        <v>0</v>
      </c>
      <c r="Q19" s="29">
        <f>'2-ф2'!Q32</f>
        <v>0</v>
      </c>
      <c r="R19" s="29">
        <f>'2-ф2'!R32</f>
        <v>0</v>
      </c>
      <c r="S19" s="29">
        <f>'2-ф2'!S32</f>
        <v>0</v>
      </c>
      <c r="T19" s="29">
        <f>'2-ф2'!T32</f>
        <v>0</v>
      </c>
      <c r="U19" s="29">
        <f>'2-ф2'!U32</f>
        <v>0</v>
      </c>
      <c r="V19" s="29">
        <f>'2-ф2'!V32</f>
        <v>0</v>
      </c>
      <c r="W19" s="29">
        <f>'2-ф2'!W32</f>
        <v>0</v>
      </c>
      <c r="X19" s="29">
        <f>'2-ф2'!X32</f>
        <v>0</v>
      </c>
      <c r="Y19" s="29">
        <f>'2-ф2'!Y32</f>
        <v>0</v>
      </c>
      <c r="Z19" s="29">
        <f>'2-ф2'!Z32</f>
        <v>0</v>
      </c>
      <c r="AA19" s="29">
        <f>'2-ф2'!AA32</f>
        <v>0</v>
      </c>
      <c r="AB19" s="29">
        <f>'2-ф2'!AB32</f>
        <v>0</v>
      </c>
      <c r="AC19" s="27">
        <f t="shared" si="8"/>
        <v>0</v>
      </c>
      <c r="AD19" s="29">
        <f>'2-ф2'!AD32</f>
        <v>0</v>
      </c>
      <c r="AE19" s="29">
        <f>'2-ф2'!AE32</f>
        <v>0</v>
      </c>
      <c r="AF19" s="29">
        <f>'2-ф2'!AF32</f>
        <v>659.6054926492377</v>
      </c>
      <c r="AG19" s="29">
        <f>'2-ф2'!AG32</f>
        <v>949.53788863100135</v>
      </c>
      <c r="AH19" s="29">
        <f>'2-ф2'!AH32</f>
        <v>1137.8208805781924</v>
      </c>
    </row>
    <row r="20" spans="1:34" s="21" customFormat="1" ht="25.5">
      <c r="A20" s="35" t="s">
        <v>21</v>
      </c>
      <c r="B20" s="18">
        <f>B9-B13</f>
        <v>63759.093329439696</v>
      </c>
      <c r="C20" s="18"/>
      <c r="D20" s="18">
        <f t="shared" ref="D20:AH20" si="9">D9-D13</f>
        <v>0</v>
      </c>
      <c r="E20" s="18">
        <f t="shared" si="9"/>
        <v>0</v>
      </c>
      <c r="F20" s="18">
        <f t="shared" si="9"/>
        <v>-652.07611274999977</v>
      </c>
      <c r="G20" s="18">
        <f t="shared" si="9"/>
        <v>-422.06658666879844</v>
      </c>
      <c r="H20" s="18">
        <f t="shared" si="9"/>
        <v>-422.06658666879844</v>
      </c>
      <c r="I20" s="18">
        <f t="shared" si="9"/>
        <v>-422.06658666879844</v>
      </c>
      <c r="J20" s="18">
        <f t="shared" si="9"/>
        <v>-422.06658666879844</v>
      </c>
      <c r="K20" s="18">
        <f t="shared" si="9"/>
        <v>-422.06658666879844</v>
      </c>
      <c r="L20" s="18">
        <f t="shared" si="9"/>
        <v>-422.06658666879844</v>
      </c>
      <c r="M20" s="18">
        <f t="shared" si="9"/>
        <v>-861.91450621357603</v>
      </c>
      <c r="N20" s="18">
        <f t="shared" si="9"/>
        <v>-856.04986728631229</v>
      </c>
      <c r="O20" s="18">
        <f t="shared" si="9"/>
        <v>-850.18522835904855</v>
      </c>
      <c r="P20" s="18">
        <f t="shared" si="9"/>
        <v>-5752.6252346217279</v>
      </c>
      <c r="Q20" s="18">
        <f t="shared" si="9"/>
        <v>-235.05538653281383</v>
      </c>
      <c r="R20" s="18">
        <f t="shared" si="9"/>
        <v>4.5792682069500188</v>
      </c>
      <c r="S20" s="18">
        <f t="shared" si="9"/>
        <v>10.443907134213759</v>
      </c>
      <c r="T20" s="18">
        <f t="shared" si="9"/>
        <v>16.3085460614775</v>
      </c>
      <c r="U20" s="18">
        <f t="shared" si="9"/>
        <v>22.173184988741241</v>
      </c>
      <c r="V20" s="18">
        <f t="shared" si="9"/>
        <v>28.037823916004982</v>
      </c>
      <c r="W20" s="18">
        <f t="shared" si="9"/>
        <v>33.902462843268722</v>
      </c>
      <c r="X20" s="18">
        <f t="shared" si="9"/>
        <v>-77.117906135717703</v>
      </c>
      <c r="Y20" s="18">
        <f t="shared" si="9"/>
        <v>45.631740697795976</v>
      </c>
      <c r="Z20" s="18">
        <f t="shared" si="9"/>
        <v>51.496379625059717</v>
      </c>
      <c r="AA20" s="18">
        <f t="shared" si="9"/>
        <v>57.361018552323458</v>
      </c>
      <c r="AB20" s="18">
        <f t="shared" si="9"/>
        <v>63.225657479587198</v>
      </c>
      <c r="AC20" s="18">
        <f t="shared" si="9"/>
        <v>20.986696836895135</v>
      </c>
      <c r="AD20" s="18">
        <f t="shared" si="9"/>
        <v>16022.077993778068</v>
      </c>
      <c r="AE20" s="18">
        <f t="shared" si="9"/>
        <v>12249.866033261289</v>
      </c>
      <c r="AF20" s="18">
        <f t="shared" si="9"/>
        <v>7436.5225743154588</v>
      </c>
      <c r="AG20" s="18">
        <f t="shared" si="9"/>
        <v>13816.487610875571</v>
      </c>
      <c r="AH20" s="18">
        <f t="shared" si="9"/>
        <v>19965.777654994134</v>
      </c>
    </row>
    <row r="21" spans="1:34" s="21" customFormat="1">
      <c r="A21" s="22" t="s">
        <v>22</v>
      </c>
      <c r="B21" s="23"/>
      <c r="C21" s="23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36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36"/>
      <c r="AD21" s="36"/>
      <c r="AE21" s="36"/>
      <c r="AF21" s="36"/>
      <c r="AG21" s="36"/>
      <c r="AH21" s="36"/>
    </row>
    <row r="22" spans="1:34" s="21" customFormat="1">
      <c r="A22" s="26" t="s">
        <v>7</v>
      </c>
      <c r="B22" s="27"/>
      <c r="C22" s="2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2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27"/>
      <c r="AD22" s="27"/>
      <c r="AE22" s="27"/>
      <c r="AF22" s="27"/>
      <c r="AG22" s="27"/>
      <c r="AH22" s="27"/>
    </row>
    <row r="23" spans="1:34" s="21" customFormat="1">
      <c r="A23" s="26" t="s">
        <v>8</v>
      </c>
      <c r="B23" s="27">
        <f>P23+AC23+AD23+AE23+AF23+AG23+AH23</f>
        <v>82788.948799999998</v>
      </c>
      <c r="C23" s="27"/>
      <c r="D23" s="27">
        <f t="shared" ref="D23:AC23" si="10">SUM(D24:D25)</f>
        <v>5606.5376000000006</v>
      </c>
      <c r="E23" s="27">
        <f t="shared" si="10"/>
        <v>12804.992320000001</v>
      </c>
      <c r="F23" s="27">
        <f t="shared" si="10"/>
        <v>64377.418879999997</v>
      </c>
      <c r="G23" s="27">
        <f t="shared" si="10"/>
        <v>0</v>
      </c>
      <c r="H23" s="27">
        <f>SUM(H24:H25)</f>
        <v>0</v>
      </c>
      <c r="I23" s="27">
        <f t="shared" si="10"/>
        <v>0</v>
      </c>
      <c r="J23" s="27">
        <f t="shared" si="10"/>
        <v>0</v>
      </c>
      <c r="K23" s="27">
        <f t="shared" si="10"/>
        <v>0</v>
      </c>
      <c r="L23" s="27">
        <f t="shared" si="10"/>
        <v>0</v>
      </c>
      <c r="M23" s="27">
        <f t="shared" si="10"/>
        <v>0</v>
      </c>
      <c r="N23" s="27">
        <f t="shared" si="10"/>
        <v>0</v>
      </c>
      <c r="O23" s="27">
        <f t="shared" si="10"/>
        <v>0</v>
      </c>
      <c r="P23" s="27">
        <f t="shared" si="10"/>
        <v>82788.948799999998</v>
      </c>
      <c r="Q23" s="27">
        <f t="shared" si="10"/>
        <v>0</v>
      </c>
      <c r="R23" s="27">
        <f t="shared" si="10"/>
        <v>0</v>
      </c>
      <c r="S23" s="27">
        <f t="shared" si="10"/>
        <v>0</v>
      </c>
      <c r="T23" s="27">
        <f t="shared" si="10"/>
        <v>0</v>
      </c>
      <c r="U23" s="27">
        <f t="shared" si="10"/>
        <v>0</v>
      </c>
      <c r="V23" s="27">
        <f t="shared" si="10"/>
        <v>0</v>
      </c>
      <c r="W23" s="27">
        <f t="shared" si="10"/>
        <v>0</v>
      </c>
      <c r="X23" s="27">
        <f t="shared" si="10"/>
        <v>0</v>
      </c>
      <c r="Y23" s="27">
        <f t="shared" si="10"/>
        <v>0</v>
      </c>
      <c r="Z23" s="27">
        <f t="shared" si="10"/>
        <v>0</v>
      </c>
      <c r="AA23" s="27">
        <f t="shared" si="10"/>
        <v>0</v>
      </c>
      <c r="AB23" s="27">
        <f t="shared" si="10"/>
        <v>0</v>
      </c>
      <c r="AC23" s="27">
        <f t="shared" si="10"/>
        <v>0</v>
      </c>
      <c r="AD23" s="27">
        <f>SUM(AD24:AD25)</f>
        <v>0</v>
      </c>
      <c r="AE23" s="27">
        <f>SUM(AE24:AE25)</f>
        <v>0</v>
      </c>
      <c r="AF23" s="27">
        <f>SUM(AF24:AF25)</f>
        <v>0</v>
      </c>
      <c r="AG23" s="27">
        <f>SUM(AG24:AG25)</f>
        <v>0</v>
      </c>
      <c r="AH23" s="27">
        <f>SUM(AH24:AH25)</f>
        <v>0</v>
      </c>
    </row>
    <row r="24" spans="1:34">
      <c r="A24" s="38" t="s">
        <v>23</v>
      </c>
      <c r="B24" s="27">
        <f>P24+AC24+AD24+AE24+AF24+AG24+AH24</f>
        <v>82788.948799999998</v>
      </c>
      <c r="C24" s="27"/>
      <c r="D24" s="29">
        <f>Инв!E19</f>
        <v>5606.5376000000006</v>
      </c>
      <c r="E24" s="29">
        <f>Инв!F19</f>
        <v>12804.992320000001</v>
      </c>
      <c r="F24" s="29">
        <f>Инв!G19</f>
        <v>64377.418879999997</v>
      </c>
      <c r="G24" s="29">
        <f>Инв!H19</f>
        <v>0</v>
      </c>
      <c r="H24" s="29">
        <f>Инв!I19</f>
        <v>0</v>
      </c>
      <c r="I24" s="29">
        <f>Инв!J19</f>
        <v>0</v>
      </c>
      <c r="J24" s="29">
        <f>Инв!K19</f>
        <v>0</v>
      </c>
      <c r="K24" s="29"/>
      <c r="L24" s="29">
        <f>Инв!M19</f>
        <v>0</v>
      </c>
      <c r="M24" s="29">
        <f>Инв!N19</f>
        <v>0</v>
      </c>
      <c r="N24" s="29">
        <f>Инв!O19</f>
        <v>0</v>
      </c>
      <c r="O24" s="29">
        <f>Инв!P19</f>
        <v>0</v>
      </c>
      <c r="P24" s="27">
        <f>SUM(D24:O24)</f>
        <v>82788.948799999998</v>
      </c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7">
        <f>SUM(Q24:AB24)</f>
        <v>0</v>
      </c>
      <c r="AD24" s="27"/>
      <c r="AE24" s="27"/>
      <c r="AF24" s="27"/>
      <c r="AG24" s="27"/>
      <c r="AH24" s="27"/>
    </row>
    <row r="25" spans="1:34" outlineLevel="1">
      <c r="A25" s="38"/>
      <c r="B25" s="27"/>
      <c r="C25" s="27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7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7"/>
      <c r="AD25" s="27"/>
      <c r="AE25" s="27"/>
      <c r="AF25" s="27"/>
      <c r="AG25" s="27"/>
      <c r="AH25" s="27"/>
    </row>
    <row r="26" spans="1:34" s="21" customFormat="1" ht="25.5">
      <c r="A26" s="39" t="s">
        <v>24</v>
      </c>
      <c r="B26" s="18">
        <f>B22-B23</f>
        <v>-82788.948799999998</v>
      </c>
      <c r="C26" s="18"/>
      <c r="D26" s="18">
        <f>D22-D23</f>
        <v>-5606.5376000000006</v>
      </c>
      <c r="E26" s="18">
        <f t="shared" ref="E26:O26" si="11">E22-E23</f>
        <v>-12804.992320000001</v>
      </c>
      <c r="F26" s="18">
        <f t="shared" si="11"/>
        <v>-64377.418879999997</v>
      </c>
      <c r="G26" s="18">
        <f t="shared" si="11"/>
        <v>0</v>
      </c>
      <c r="H26" s="18">
        <f t="shared" si="11"/>
        <v>0</v>
      </c>
      <c r="I26" s="18">
        <f t="shared" si="11"/>
        <v>0</v>
      </c>
      <c r="J26" s="18">
        <f>J22-J23</f>
        <v>0</v>
      </c>
      <c r="K26" s="18">
        <f t="shared" si="11"/>
        <v>0</v>
      </c>
      <c r="L26" s="18">
        <f t="shared" si="11"/>
        <v>0</v>
      </c>
      <c r="M26" s="18">
        <f t="shared" si="11"/>
        <v>0</v>
      </c>
      <c r="N26" s="18">
        <f t="shared" si="11"/>
        <v>0</v>
      </c>
      <c r="O26" s="18">
        <f t="shared" si="11"/>
        <v>0</v>
      </c>
      <c r="P26" s="18">
        <f>SUM(D26:O26)</f>
        <v>-82788.948799999998</v>
      </c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</row>
    <row r="27" spans="1:34" s="43" customFormat="1">
      <c r="A27" s="40" t="s">
        <v>25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2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2"/>
      <c r="AD27" s="42"/>
      <c r="AE27" s="42"/>
      <c r="AF27" s="42"/>
      <c r="AG27" s="42"/>
      <c r="AH27" s="42"/>
    </row>
    <row r="28" spans="1:34" s="21" customFormat="1">
      <c r="A28" s="22" t="s">
        <v>26</v>
      </c>
      <c r="B28" s="23"/>
      <c r="C28" s="23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36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36"/>
      <c r="AD28" s="36"/>
      <c r="AE28" s="36"/>
      <c r="AF28" s="36"/>
      <c r="AG28" s="36"/>
      <c r="AH28" s="36"/>
    </row>
    <row r="29" spans="1:34" s="21" customFormat="1">
      <c r="A29" s="26" t="s">
        <v>7</v>
      </c>
      <c r="B29" s="27">
        <f>SUM(B30:B31)</f>
        <v>104285.15808608758</v>
      </c>
      <c r="C29" s="27"/>
      <c r="D29" s="27">
        <f>SUM(D30:D31)</f>
        <v>5606.5376000000006</v>
      </c>
      <c r="E29" s="27">
        <f t="shared" ref="E29:O29" si="12">SUM(E30:E31)</f>
        <v>12804.992320000001</v>
      </c>
      <c r="F29" s="27">
        <f t="shared" si="12"/>
        <v>65029.494992749998</v>
      </c>
      <c r="G29" s="27">
        <f t="shared" si="12"/>
        <v>422.06658666879844</v>
      </c>
      <c r="H29" s="27">
        <f t="shared" si="12"/>
        <v>422.06658666879844</v>
      </c>
      <c r="I29" s="27">
        <f t="shared" si="12"/>
        <v>20000</v>
      </c>
      <c r="J29" s="27">
        <f t="shared" si="12"/>
        <v>0</v>
      </c>
      <c r="K29" s="27">
        <f t="shared" si="12"/>
        <v>0</v>
      </c>
      <c r="L29" s="27">
        <f t="shared" si="12"/>
        <v>0</v>
      </c>
      <c r="M29" s="27">
        <f t="shared" si="12"/>
        <v>0</v>
      </c>
      <c r="N29" s="27">
        <f t="shared" si="12"/>
        <v>0</v>
      </c>
      <c r="O29" s="27">
        <f t="shared" si="12"/>
        <v>0</v>
      </c>
      <c r="P29" s="27">
        <f t="shared" ref="P29:AD29" si="13">SUM(P30:P31)</f>
        <v>104285.15808608758</v>
      </c>
      <c r="Q29" s="27">
        <f t="shared" si="13"/>
        <v>0</v>
      </c>
      <c r="R29" s="27">
        <f t="shared" si="13"/>
        <v>0</v>
      </c>
      <c r="S29" s="27">
        <f t="shared" si="13"/>
        <v>0</v>
      </c>
      <c r="T29" s="27">
        <f t="shared" si="13"/>
        <v>0</v>
      </c>
      <c r="U29" s="27">
        <f t="shared" si="13"/>
        <v>0</v>
      </c>
      <c r="V29" s="27">
        <f t="shared" si="13"/>
        <v>0</v>
      </c>
      <c r="W29" s="27">
        <f t="shared" si="13"/>
        <v>0</v>
      </c>
      <c r="X29" s="27">
        <f t="shared" si="13"/>
        <v>0</v>
      </c>
      <c r="Y29" s="27">
        <f t="shared" si="13"/>
        <v>0</v>
      </c>
      <c r="Z29" s="27">
        <f t="shared" si="13"/>
        <v>0</v>
      </c>
      <c r="AA29" s="27">
        <f t="shared" si="13"/>
        <v>0</v>
      </c>
      <c r="AB29" s="27">
        <f t="shared" si="13"/>
        <v>0</v>
      </c>
      <c r="AC29" s="27">
        <f t="shared" si="13"/>
        <v>0</v>
      </c>
      <c r="AD29" s="27">
        <f t="shared" si="13"/>
        <v>0</v>
      </c>
      <c r="AE29" s="27">
        <f>SUM(AE30:AE31)</f>
        <v>0</v>
      </c>
      <c r="AF29" s="27">
        <f>SUM(AF30:AF31)</f>
        <v>0</v>
      </c>
      <c r="AG29" s="27">
        <f>SUM(AG30:AG31)</f>
        <v>0</v>
      </c>
      <c r="AH29" s="27">
        <f>SUM(AH30:AH31)</f>
        <v>0</v>
      </c>
    </row>
    <row r="30" spans="1:34" ht="12.75" customHeight="1">
      <c r="A30" s="38" t="s">
        <v>61</v>
      </c>
      <c r="B30" s="27">
        <f>P30+AC30+AD30+AE30+AF30+AG30+AH30</f>
        <v>31285.547425826277</v>
      </c>
      <c r="C30" s="27"/>
      <c r="D30" s="29">
        <f>(-D20-D26)*Исх!$C$8</f>
        <v>1681.9612800000002</v>
      </c>
      <c r="E30" s="29">
        <f>(-E20-E26)*Исх!$C$8</f>
        <v>3841.4976960000004</v>
      </c>
      <c r="F30" s="29">
        <f>(-F20-F26)*Исх!$C$8</f>
        <v>19508.848497824998</v>
      </c>
      <c r="G30" s="29">
        <f>(-G20-G26)*Исх!$C$8</f>
        <v>126.61997600063953</v>
      </c>
      <c r="H30" s="29">
        <f>(-H20-H26)*Исх!$C$8</f>
        <v>126.61997600063953</v>
      </c>
      <c r="I30" s="33">
        <v>6000</v>
      </c>
      <c r="J30" s="29">
        <f>Инв!K5*Исх!$C$19</f>
        <v>0</v>
      </c>
      <c r="K30" s="29">
        <f>Инв!L5*Исх!$C$19</f>
        <v>0</v>
      </c>
      <c r="L30" s="29">
        <f>Инв!M5*Исх!$C$19</f>
        <v>0</v>
      </c>
      <c r="M30" s="29">
        <f>Инв!N5*Исх!$C$19</f>
        <v>0</v>
      </c>
      <c r="N30" s="29">
        <f>Инв!O5*Исх!$C$19</f>
        <v>0</v>
      </c>
      <c r="O30" s="29">
        <f>Инв!P5*Исх!$C$19</f>
        <v>0</v>
      </c>
      <c r="P30" s="27">
        <f>SUM(D30:O30)</f>
        <v>31285.547425826277</v>
      </c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7">
        <f>SUM(Q30:AB30)</f>
        <v>0</v>
      </c>
      <c r="AD30" s="27"/>
      <c r="AE30" s="27"/>
      <c r="AF30" s="27"/>
      <c r="AG30" s="27"/>
      <c r="AH30" s="27"/>
    </row>
    <row r="31" spans="1:34">
      <c r="A31" s="44" t="s">
        <v>183</v>
      </c>
      <c r="B31" s="27">
        <f>P31+AC31+AD31+AE31+AF31+AG31+AH31</f>
        <v>72999.610660261314</v>
      </c>
      <c r="C31" s="27"/>
      <c r="D31" s="45">
        <f>(-D20-D26)-D30</f>
        <v>3924.5763200000001</v>
      </c>
      <c r="E31" s="45">
        <f>(-E20-E26)-E30</f>
        <v>8963.4946240000008</v>
      </c>
      <c r="F31" s="45">
        <f>(-F20-F26)-F30</f>
        <v>45520.646494925</v>
      </c>
      <c r="G31" s="45">
        <f>(-G20-G26)-G30</f>
        <v>295.44661066815888</v>
      </c>
      <c r="H31" s="45">
        <f>(-H20-H26)-H30</f>
        <v>295.44661066815888</v>
      </c>
      <c r="I31" s="45">
        <f>I30/0.3*0.7</f>
        <v>14000</v>
      </c>
      <c r="J31" s="45">
        <f>Инв!K19-'1-Ф3'!J30</f>
        <v>0</v>
      </c>
      <c r="K31" s="45">
        <f>Инв!L19-'1-Ф3'!K30</f>
        <v>0</v>
      </c>
      <c r="L31" s="45">
        <f>Инв!M19-'1-Ф3'!L30</f>
        <v>0</v>
      </c>
      <c r="M31" s="45">
        <f>Инв!N19-'1-Ф3'!M30</f>
        <v>0</v>
      </c>
      <c r="N31" s="45">
        <f>Инв!O19-'1-Ф3'!N30</f>
        <v>0</v>
      </c>
      <c r="O31" s="45">
        <f>Инв!P19-'1-Ф3'!O30</f>
        <v>0</v>
      </c>
      <c r="P31" s="27">
        <f>SUM(D31:O31)</f>
        <v>72999.610660261314</v>
      </c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27">
        <f>SUM(Q31:AB31)</f>
        <v>0</v>
      </c>
      <c r="AD31" s="27"/>
      <c r="AE31" s="27"/>
      <c r="AF31" s="27"/>
      <c r="AG31" s="27"/>
      <c r="AH31" s="27"/>
    </row>
    <row r="32" spans="1:34" s="21" customFormat="1">
      <c r="A32" s="26" t="s">
        <v>8</v>
      </c>
      <c r="B32" s="27">
        <f>SUM(B33:B34)</f>
        <v>75402.500493390427</v>
      </c>
      <c r="C32" s="27"/>
      <c r="D32" s="27">
        <f>SUM(D33:D34)</f>
        <v>0</v>
      </c>
      <c r="E32" s="27">
        <f t="shared" ref="E32:AF32" si="14">SUM(E33:E34)</f>
        <v>0</v>
      </c>
      <c r="F32" s="27">
        <f t="shared" si="14"/>
        <v>0</v>
      </c>
      <c r="G32" s="27">
        <f t="shared" si="14"/>
        <v>0</v>
      </c>
      <c r="H32" s="27">
        <f t="shared" si="14"/>
        <v>0</v>
      </c>
      <c r="I32" s="27">
        <f>SUM(I33:I34)</f>
        <v>0</v>
      </c>
      <c r="J32" s="27">
        <f t="shared" si="14"/>
        <v>0</v>
      </c>
      <c r="K32" s="27">
        <f t="shared" si="14"/>
        <v>0</v>
      </c>
      <c r="L32" s="27">
        <f t="shared" si="14"/>
        <v>0</v>
      </c>
      <c r="M32" s="27">
        <f t="shared" si="14"/>
        <v>1005.3666732452057</v>
      </c>
      <c r="N32" s="27">
        <f t="shared" si="14"/>
        <v>1005.3666732452057</v>
      </c>
      <c r="O32" s="27">
        <f t="shared" si="14"/>
        <v>1005.3666732452057</v>
      </c>
      <c r="P32" s="27">
        <f t="shared" si="14"/>
        <v>3016.100019735617</v>
      </c>
      <c r="Q32" s="27">
        <f t="shared" si="14"/>
        <v>1005.3666732452057</v>
      </c>
      <c r="R32" s="27">
        <f t="shared" si="14"/>
        <v>1005.3666732452057</v>
      </c>
      <c r="S32" s="27">
        <f t="shared" si="14"/>
        <v>1005.3666732452057</v>
      </c>
      <c r="T32" s="27">
        <f t="shared" si="14"/>
        <v>1005.3666732452057</v>
      </c>
      <c r="U32" s="27">
        <f t="shared" si="14"/>
        <v>1005.3666732452057</v>
      </c>
      <c r="V32" s="27">
        <f t="shared" si="14"/>
        <v>1005.3666732452057</v>
      </c>
      <c r="W32" s="27">
        <f t="shared" si="14"/>
        <v>1005.3666732452057</v>
      </c>
      <c r="X32" s="27">
        <f t="shared" si="14"/>
        <v>1005.3666732452057</v>
      </c>
      <c r="Y32" s="27">
        <f t="shared" si="14"/>
        <v>1005.3666732452057</v>
      </c>
      <c r="Z32" s="27">
        <f t="shared" si="14"/>
        <v>1005.3666732452057</v>
      </c>
      <c r="AA32" s="27">
        <f t="shared" si="14"/>
        <v>1005.3666732452057</v>
      </c>
      <c r="AB32" s="27">
        <f t="shared" si="14"/>
        <v>1005.3666732452057</v>
      </c>
      <c r="AC32" s="27">
        <f t="shared" si="14"/>
        <v>12064.400078942468</v>
      </c>
      <c r="AD32" s="27">
        <f t="shared" si="14"/>
        <v>12064.400078942468</v>
      </c>
      <c r="AE32" s="27">
        <f t="shared" si="14"/>
        <v>12064.400078942468</v>
      </c>
      <c r="AF32" s="27">
        <f t="shared" si="14"/>
        <v>12064.400078942468</v>
      </c>
      <c r="AG32" s="27">
        <f>SUM(AG33:AG34)</f>
        <v>12064.400078942468</v>
      </c>
      <c r="AH32" s="27">
        <f>SUM(AH33:AH34)</f>
        <v>12064.400078942468</v>
      </c>
    </row>
    <row r="33" spans="1:46">
      <c r="A33" s="28" t="s">
        <v>36</v>
      </c>
      <c r="B33" s="27">
        <f>P33+AC33+AD33+AE33+AF33+AG33+AH33</f>
        <v>0</v>
      </c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27">
        <f>SUM(D33:O33)</f>
        <v>0</v>
      </c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27">
        <f>SUM(Q33:AB33)</f>
        <v>0</v>
      </c>
      <c r="AD33" s="27"/>
      <c r="AE33" s="27"/>
      <c r="AF33" s="27"/>
      <c r="AG33" s="27"/>
      <c r="AH33" s="27"/>
    </row>
    <row r="34" spans="1:46" ht="13.5" customHeight="1">
      <c r="A34" s="38" t="s">
        <v>182</v>
      </c>
      <c r="B34" s="27">
        <f>P34+AC34+AD34+AE34+AF34+AG34+AH34</f>
        <v>75402.500493390427</v>
      </c>
      <c r="C34" s="27"/>
      <c r="D34" s="34">
        <f>кр!C10</f>
        <v>0</v>
      </c>
      <c r="E34" s="34">
        <f>кр!D10</f>
        <v>0</v>
      </c>
      <c r="F34" s="34">
        <f>кр!E10</f>
        <v>0</v>
      </c>
      <c r="G34" s="34">
        <f>кр!F10</f>
        <v>0</v>
      </c>
      <c r="H34" s="34">
        <f>кр!G10</f>
        <v>0</v>
      </c>
      <c r="I34" s="34">
        <f>кр!H10</f>
        <v>0</v>
      </c>
      <c r="J34" s="34">
        <f>кр!I10</f>
        <v>0</v>
      </c>
      <c r="K34" s="34">
        <f>кр!J10</f>
        <v>0</v>
      </c>
      <c r="L34" s="34">
        <f>кр!K10</f>
        <v>0</v>
      </c>
      <c r="M34" s="34">
        <f>кр!L10</f>
        <v>1005.3666732452057</v>
      </c>
      <c r="N34" s="34">
        <f>кр!M10</f>
        <v>1005.3666732452057</v>
      </c>
      <c r="O34" s="34">
        <f>кр!N10</f>
        <v>1005.3666732452057</v>
      </c>
      <c r="P34" s="27">
        <f>SUM(D34:O34)</f>
        <v>3016.100019735617</v>
      </c>
      <c r="Q34" s="34">
        <f>кр!P10</f>
        <v>1005.3666732452057</v>
      </c>
      <c r="R34" s="34">
        <f>кр!Q10</f>
        <v>1005.3666732452057</v>
      </c>
      <c r="S34" s="34">
        <f>кр!R10</f>
        <v>1005.3666732452057</v>
      </c>
      <c r="T34" s="34">
        <f>кр!S10</f>
        <v>1005.3666732452057</v>
      </c>
      <c r="U34" s="34">
        <f>кр!T10</f>
        <v>1005.3666732452057</v>
      </c>
      <c r="V34" s="34">
        <f>кр!U10</f>
        <v>1005.3666732452057</v>
      </c>
      <c r="W34" s="34">
        <f>кр!V10</f>
        <v>1005.3666732452057</v>
      </c>
      <c r="X34" s="34">
        <f>кр!W10</f>
        <v>1005.3666732452057</v>
      </c>
      <c r="Y34" s="34">
        <f>кр!X10</f>
        <v>1005.3666732452057</v>
      </c>
      <c r="Z34" s="34">
        <f>кр!Y10</f>
        <v>1005.3666732452057</v>
      </c>
      <c r="AA34" s="34">
        <f>кр!Z10</f>
        <v>1005.3666732452057</v>
      </c>
      <c r="AB34" s="34">
        <f>кр!AA10</f>
        <v>1005.3666732452057</v>
      </c>
      <c r="AC34" s="27">
        <f>SUM(Q34:AB34)</f>
        <v>12064.400078942468</v>
      </c>
      <c r="AD34" s="34">
        <f>кр!AO10</f>
        <v>12064.400078942468</v>
      </c>
      <c r="AE34" s="34">
        <f>кр!BB10</f>
        <v>12064.400078942468</v>
      </c>
      <c r="AF34" s="34">
        <f>кр!BO10</f>
        <v>12064.400078942468</v>
      </c>
      <c r="AG34" s="34">
        <f>кр!CB10</f>
        <v>12064.400078942468</v>
      </c>
      <c r="AH34" s="34">
        <f>кр!CO10</f>
        <v>12064.400078942468</v>
      </c>
    </row>
    <row r="35" spans="1:46" s="21" customFormat="1" ht="25.5">
      <c r="A35" s="39" t="s">
        <v>27</v>
      </c>
      <c r="B35" s="18">
        <f>B29-B32</f>
        <v>28882.657592697156</v>
      </c>
      <c r="C35" s="18"/>
      <c r="D35" s="18">
        <f>D29-D32</f>
        <v>5606.5376000000006</v>
      </c>
      <c r="E35" s="18">
        <f t="shared" ref="E35:AF35" si="15">E29-E32</f>
        <v>12804.992320000001</v>
      </c>
      <c r="F35" s="18">
        <f t="shared" si="15"/>
        <v>65029.494992749998</v>
      </c>
      <c r="G35" s="18">
        <f t="shared" si="15"/>
        <v>422.06658666879844</v>
      </c>
      <c r="H35" s="18">
        <f t="shared" si="15"/>
        <v>422.06658666879844</v>
      </c>
      <c r="I35" s="18">
        <f t="shared" si="15"/>
        <v>20000</v>
      </c>
      <c r="J35" s="18">
        <f t="shared" si="15"/>
        <v>0</v>
      </c>
      <c r="K35" s="18">
        <f t="shared" si="15"/>
        <v>0</v>
      </c>
      <c r="L35" s="18">
        <f t="shared" si="15"/>
        <v>0</v>
      </c>
      <c r="M35" s="18">
        <f t="shared" si="15"/>
        <v>-1005.3666732452057</v>
      </c>
      <c r="N35" s="18">
        <f t="shared" si="15"/>
        <v>-1005.3666732452057</v>
      </c>
      <c r="O35" s="18">
        <f t="shared" si="15"/>
        <v>-1005.3666732452057</v>
      </c>
      <c r="P35" s="18">
        <f t="shared" si="15"/>
        <v>101269.05806635196</v>
      </c>
      <c r="Q35" s="18">
        <f t="shared" si="15"/>
        <v>-1005.3666732452057</v>
      </c>
      <c r="R35" s="18">
        <f t="shared" si="15"/>
        <v>-1005.3666732452057</v>
      </c>
      <c r="S35" s="18">
        <f t="shared" si="15"/>
        <v>-1005.3666732452057</v>
      </c>
      <c r="T35" s="18">
        <f t="shared" si="15"/>
        <v>-1005.3666732452057</v>
      </c>
      <c r="U35" s="18">
        <f t="shared" si="15"/>
        <v>-1005.3666732452057</v>
      </c>
      <c r="V35" s="18">
        <f t="shared" si="15"/>
        <v>-1005.3666732452057</v>
      </c>
      <c r="W35" s="18">
        <f t="shared" si="15"/>
        <v>-1005.3666732452057</v>
      </c>
      <c r="X35" s="18">
        <f t="shared" si="15"/>
        <v>-1005.3666732452057</v>
      </c>
      <c r="Y35" s="18">
        <f t="shared" si="15"/>
        <v>-1005.3666732452057</v>
      </c>
      <c r="Z35" s="18">
        <f t="shared" si="15"/>
        <v>-1005.3666732452057</v>
      </c>
      <c r="AA35" s="18">
        <f t="shared" si="15"/>
        <v>-1005.3666732452057</v>
      </c>
      <c r="AB35" s="18">
        <f t="shared" si="15"/>
        <v>-1005.3666732452057</v>
      </c>
      <c r="AC35" s="18">
        <f t="shared" si="15"/>
        <v>-12064.400078942468</v>
      </c>
      <c r="AD35" s="18">
        <f t="shared" si="15"/>
        <v>-12064.400078942468</v>
      </c>
      <c r="AE35" s="18">
        <f t="shared" si="15"/>
        <v>-12064.400078942468</v>
      </c>
      <c r="AF35" s="18">
        <f t="shared" si="15"/>
        <v>-12064.400078942468</v>
      </c>
      <c r="AG35" s="18">
        <f>AG29-AG32</f>
        <v>-12064.400078942468</v>
      </c>
      <c r="AH35" s="18">
        <f>AH29-AH32</f>
        <v>-12064.400078942468</v>
      </c>
    </row>
    <row r="36" spans="1:46" s="48" customFormat="1">
      <c r="A36" s="46" t="s">
        <v>28</v>
      </c>
      <c r="B36" s="47">
        <f>B20+B26+B35</f>
        <v>9852.8021221368545</v>
      </c>
      <c r="C36" s="27"/>
      <c r="D36" s="47">
        <f>D20+D26+D35</f>
        <v>0</v>
      </c>
      <c r="E36" s="47">
        <f t="shared" ref="E36:AF36" si="16">E20+E26+E35</f>
        <v>0</v>
      </c>
      <c r="F36" s="47">
        <f t="shared" si="16"/>
        <v>0</v>
      </c>
      <c r="G36" s="47">
        <f t="shared" si="16"/>
        <v>0</v>
      </c>
      <c r="H36" s="47">
        <f t="shared" si="16"/>
        <v>0</v>
      </c>
      <c r="I36" s="47">
        <f t="shared" si="16"/>
        <v>19577.9334133312</v>
      </c>
      <c r="J36" s="47">
        <f t="shared" si="16"/>
        <v>-422.06658666879844</v>
      </c>
      <c r="K36" s="47">
        <f t="shared" si="16"/>
        <v>-422.06658666879844</v>
      </c>
      <c r="L36" s="47">
        <f t="shared" si="16"/>
        <v>-422.06658666879844</v>
      </c>
      <c r="M36" s="47">
        <f t="shared" si="16"/>
        <v>-1867.2811794587817</v>
      </c>
      <c r="N36" s="47">
        <f t="shared" si="16"/>
        <v>-1861.416540531518</v>
      </c>
      <c r="O36" s="47">
        <f t="shared" si="16"/>
        <v>-1855.5519016042542</v>
      </c>
      <c r="P36" s="47">
        <f t="shared" si="16"/>
        <v>12727.484031730244</v>
      </c>
      <c r="Q36" s="47">
        <f t="shared" si="16"/>
        <v>-1240.4220597780195</v>
      </c>
      <c r="R36" s="47">
        <f t="shared" si="16"/>
        <v>-1000.7874050382557</v>
      </c>
      <c r="S36" s="47">
        <f t="shared" si="16"/>
        <v>-994.92276611099192</v>
      </c>
      <c r="T36" s="47">
        <f t="shared" si="16"/>
        <v>-989.05812718372817</v>
      </c>
      <c r="U36" s="47">
        <f t="shared" si="16"/>
        <v>-983.19348825646443</v>
      </c>
      <c r="V36" s="47">
        <f t="shared" si="16"/>
        <v>-977.32884932920069</v>
      </c>
      <c r="W36" s="47">
        <f t="shared" si="16"/>
        <v>-971.46421040193695</v>
      </c>
      <c r="X36" s="47">
        <f t="shared" si="16"/>
        <v>-1082.4845793809234</v>
      </c>
      <c r="Y36" s="47">
        <f t="shared" si="16"/>
        <v>-959.7349325474097</v>
      </c>
      <c r="Z36" s="47">
        <f t="shared" si="16"/>
        <v>-953.87029362014596</v>
      </c>
      <c r="AA36" s="47">
        <f t="shared" si="16"/>
        <v>-948.00565469288222</v>
      </c>
      <c r="AB36" s="47">
        <f t="shared" si="16"/>
        <v>-942.14101576561848</v>
      </c>
      <c r="AC36" s="47">
        <f>AC20+AC26+AC35</f>
        <v>-12043.413382105573</v>
      </c>
      <c r="AD36" s="47">
        <f t="shared" si="16"/>
        <v>3957.6779148355999</v>
      </c>
      <c r="AE36" s="47">
        <f t="shared" si="16"/>
        <v>185.46595431882088</v>
      </c>
      <c r="AF36" s="47">
        <f t="shared" si="16"/>
        <v>-4627.8775046270093</v>
      </c>
      <c r="AG36" s="47">
        <f>AG20+AG26+AG35</f>
        <v>1752.0875319331026</v>
      </c>
      <c r="AH36" s="47">
        <f>AH20+AH26+AH35</f>
        <v>7901.3775760516655</v>
      </c>
    </row>
    <row r="37" spans="1:46" s="21" customFormat="1">
      <c r="A37" s="49" t="s">
        <v>60</v>
      </c>
      <c r="B37" s="27">
        <f>B7+B20+B26+B35</f>
        <v>9852.8021221368545</v>
      </c>
      <c r="C37" s="50"/>
      <c r="D37" s="51">
        <f t="shared" ref="D37:O37" si="17">D7+D20+D26+D35</f>
        <v>0</v>
      </c>
      <c r="E37" s="51">
        <f t="shared" si="17"/>
        <v>0</v>
      </c>
      <c r="F37" s="51">
        <f t="shared" si="17"/>
        <v>0</v>
      </c>
      <c r="G37" s="51">
        <f t="shared" si="17"/>
        <v>0</v>
      </c>
      <c r="H37" s="51">
        <f t="shared" si="17"/>
        <v>0</v>
      </c>
      <c r="I37" s="51">
        <f t="shared" si="17"/>
        <v>19577.9334133312</v>
      </c>
      <c r="J37" s="51">
        <f t="shared" si="17"/>
        <v>19155.866826662401</v>
      </c>
      <c r="K37" s="51">
        <f t="shared" si="17"/>
        <v>18733.800239993601</v>
      </c>
      <c r="L37" s="51">
        <f t="shared" si="17"/>
        <v>18311.733653324802</v>
      </c>
      <c r="M37" s="51">
        <f t="shared" si="17"/>
        <v>16444.452473866018</v>
      </c>
      <c r="N37" s="51">
        <f t="shared" si="17"/>
        <v>14583.0359333345</v>
      </c>
      <c r="O37" s="51">
        <f t="shared" si="17"/>
        <v>12727.484031730246</v>
      </c>
      <c r="P37" s="52">
        <f>O37</f>
        <v>12727.484031730246</v>
      </c>
      <c r="Q37" s="51">
        <f>P37+Q20+Q26+Q35</f>
        <v>11487.061971952227</v>
      </c>
      <c r="R37" s="51">
        <f t="shared" ref="R37:AB37" si="18">Q37+R20+R26+R35</f>
        <v>10486.274566913971</v>
      </c>
      <c r="S37" s="51">
        <f t="shared" si="18"/>
        <v>9491.3518008029787</v>
      </c>
      <c r="T37" s="51">
        <f t="shared" si="18"/>
        <v>8502.2936736192514</v>
      </c>
      <c r="U37" s="51">
        <f t="shared" si="18"/>
        <v>7519.1001853627877</v>
      </c>
      <c r="V37" s="51">
        <f t="shared" si="18"/>
        <v>6541.7713360335874</v>
      </c>
      <c r="W37" s="51">
        <f t="shared" si="18"/>
        <v>5570.3071256316507</v>
      </c>
      <c r="X37" s="51">
        <f t="shared" si="18"/>
        <v>4487.8225462507271</v>
      </c>
      <c r="Y37" s="51">
        <f t="shared" si="18"/>
        <v>3528.0876137033174</v>
      </c>
      <c r="Z37" s="51">
        <f t="shared" si="18"/>
        <v>2574.2173200831712</v>
      </c>
      <c r="AA37" s="51">
        <f t="shared" si="18"/>
        <v>1626.211665390289</v>
      </c>
      <c r="AB37" s="51">
        <f t="shared" si="18"/>
        <v>684.07064962467052</v>
      </c>
      <c r="AC37" s="51">
        <f>AB37</f>
        <v>684.07064962467052</v>
      </c>
      <c r="AD37" s="51">
        <f>AC37+AD20+AD26+AD35</f>
        <v>4641.7485644602712</v>
      </c>
      <c r="AE37" s="51">
        <f>AD37+AE20+AE26+AE35</f>
        <v>4827.214518779092</v>
      </c>
      <c r="AF37" s="51">
        <f>AE37+AF20+AF26+AF35</f>
        <v>199.3370141520827</v>
      </c>
      <c r="AG37" s="51">
        <f>AF37+AG20+AG26+AG35</f>
        <v>1951.4245460851853</v>
      </c>
      <c r="AH37" s="51">
        <f>AG37+AH20+AH26+AH35</f>
        <v>9852.8021221368508</v>
      </c>
      <c r="AI37" s="7">
        <v>2012</v>
      </c>
      <c r="AJ37" s="7">
        <f t="shared" ref="AJ37:AM38" si="19">AI37+1</f>
        <v>2013</v>
      </c>
      <c r="AK37" s="7">
        <f t="shared" si="19"/>
        <v>2014</v>
      </c>
      <c r="AL37" s="7">
        <f t="shared" si="19"/>
        <v>2015</v>
      </c>
      <c r="AM37" s="7">
        <f t="shared" si="19"/>
        <v>2016</v>
      </c>
      <c r="AN37" s="7">
        <f t="shared" ref="AN37:AT38" si="20">AM37+1</f>
        <v>2017</v>
      </c>
      <c r="AO37" s="7">
        <f t="shared" si="20"/>
        <v>2018</v>
      </c>
      <c r="AP37" s="7">
        <f t="shared" si="20"/>
        <v>2019</v>
      </c>
      <c r="AQ37" s="7">
        <f t="shared" si="20"/>
        <v>2020</v>
      </c>
      <c r="AR37" s="7">
        <f t="shared" si="20"/>
        <v>2021</v>
      </c>
      <c r="AS37" s="7">
        <f t="shared" si="20"/>
        <v>2022</v>
      </c>
      <c r="AT37" s="7">
        <f t="shared" si="20"/>
        <v>2023</v>
      </c>
    </row>
    <row r="38" spans="1:46">
      <c r="A38" s="53"/>
      <c r="B38" s="54">
        <f>AH37</f>
        <v>9852.8021221368508</v>
      </c>
      <c r="C38" s="55"/>
      <c r="D38" s="56">
        <f t="shared" ref="D38:AH38" si="21">D7+D36-D37</f>
        <v>0</v>
      </c>
      <c r="E38" s="56">
        <f t="shared" si="21"/>
        <v>0</v>
      </c>
      <c r="F38" s="56">
        <f t="shared" si="21"/>
        <v>0</v>
      </c>
      <c r="G38" s="56">
        <f t="shared" si="21"/>
        <v>0</v>
      </c>
      <c r="H38" s="56">
        <f t="shared" si="21"/>
        <v>0</v>
      </c>
      <c r="I38" s="56">
        <f t="shared" si="21"/>
        <v>0</v>
      </c>
      <c r="J38" s="56">
        <f t="shared" si="21"/>
        <v>0</v>
      </c>
      <c r="K38" s="56">
        <f t="shared" si="21"/>
        <v>0</v>
      </c>
      <c r="L38" s="56">
        <f t="shared" si="21"/>
        <v>0</v>
      </c>
      <c r="M38" s="56">
        <f t="shared" si="21"/>
        <v>0</v>
      </c>
      <c r="N38" s="56">
        <f t="shared" si="21"/>
        <v>0</v>
      </c>
      <c r="O38" s="56">
        <f t="shared" si="21"/>
        <v>0</v>
      </c>
      <c r="P38" s="56">
        <f t="shared" si="21"/>
        <v>0</v>
      </c>
      <c r="Q38" s="56">
        <f t="shared" si="21"/>
        <v>0</v>
      </c>
      <c r="R38" s="56">
        <f t="shared" si="21"/>
        <v>0</v>
      </c>
      <c r="S38" s="56">
        <f t="shared" si="21"/>
        <v>0</v>
      </c>
      <c r="T38" s="56">
        <f t="shared" si="21"/>
        <v>0</v>
      </c>
      <c r="U38" s="56">
        <f t="shared" si="21"/>
        <v>0</v>
      </c>
      <c r="V38" s="56">
        <f t="shared" si="21"/>
        <v>0</v>
      </c>
      <c r="W38" s="56">
        <f t="shared" si="21"/>
        <v>0</v>
      </c>
      <c r="X38" s="56">
        <f t="shared" si="21"/>
        <v>0</v>
      </c>
      <c r="Y38" s="56">
        <f t="shared" si="21"/>
        <v>0</v>
      </c>
      <c r="Z38" s="56">
        <f t="shared" si="21"/>
        <v>0</v>
      </c>
      <c r="AA38" s="56">
        <f t="shared" si="21"/>
        <v>0</v>
      </c>
      <c r="AB38" s="56">
        <f t="shared" si="21"/>
        <v>0</v>
      </c>
      <c r="AC38" s="56">
        <f t="shared" si="21"/>
        <v>2.5011104298755527E-12</v>
      </c>
      <c r="AD38" s="56">
        <f t="shared" si="21"/>
        <v>0</v>
      </c>
      <c r="AE38" s="56">
        <f t="shared" si="21"/>
        <v>0</v>
      </c>
      <c r="AF38" s="56">
        <f t="shared" si="21"/>
        <v>0</v>
      </c>
      <c r="AG38" s="56">
        <f t="shared" si="21"/>
        <v>0</v>
      </c>
      <c r="AH38" s="56">
        <f t="shared" si="21"/>
        <v>0</v>
      </c>
      <c r="AI38" s="63">
        <v>1</v>
      </c>
      <c r="AJ38" s="63">
        <f t="shared" si="19"/>
        <v>2</v>
      </c>
      <c r="AK38" s="63">
        <f t="shared" si="19"/>
        <v>3</v>
      </c>
      <c r="AL38" s="63">
        <f t="shared" si="19"/>
        <v>4</v>
      </c>
      <c r="AM38" s="63">
        <f t="shared" si="19"/>
        <v>5</v>
      </c>
      <c r="AN38" s="63">
        <f t="shared" si="20"/>
        <v>6</v>
      </c>
      <c r="AO38" s="63">
        <f t="shared" si="20"/>
        <v>7</v>
      </c>
      <c r="AP38" s="63">
        <f t="shared" si="20"/>
        <v>8</v>
      </c>
      <c r="AQ38" s="63">
        <f t="shared" si="20"/>
        <v>9</v>
      </c>
      <c r="AR38" s="63">
        <f t="shared" si="20"/>
        <v>10</v>
      </c>
      <c r="AS38" s="63">
        <f t="shared" si="20"/>
        <v>11</v>
      </c>
      <c r="AT38" s="63">
        <f t="shared" si="20"/>
        <v>12</v>
      </c>
    </row>
    <row r="39" spans="1:46">
      <c r="A39" s="53" t="s">
        <v>68</v>
      </c>
      <c r="B39" s="64">
        <f>B37-B38</f>
        <v>0</v>
      </c>
      <c r="C39" s="55"/>
      <c r="Q39" s="58"/>
      <c r="AI39" s="58">
        <f>P36</f>
        <v>12727.484031730244</v>
      </c>
      <c r="AJ39" s="58">
        <f t="shared" ref="AJ39:AO39" si="22">AC36</f>
        <v>-12043.413382105573</v>
      </c>
      <c r="AK39" s="58">
        <f t="shared" si="22"/>
        <v>3957.6779148355999</v>
      </c>
      <c r="AL39" s="58">
        <f t="shared" si="22"/>
        <v>185.46595431882088</v>
      </c>
      <c r="AM39" s="58">
        <f t="shared" si="22"/>
        <v>-4627.8775046270093</v>
      </c>
      <c r="AN39" s="58">
        <f t="shared" si="22"/>
        <v>1752.0875319331026</v>
      </c>
      <c r="AO39" s="58">
        <f t="shared" si="22"/>
        <v>7901.3775760516655</v>
      </c>
      <c r="AP39" s="58">
        <f>AO39+AH34+AH17</f>
        <v>20423.219491320706</v>
      </c>
      <c r="AQ39" s="58">
        <f>AP39</f>
        <v>20423.219491320706</v>
      </c>
      <c r="AR39" s="58">
        <f>AQ39</f>
        <v>20423.219491320706</v>
      </c>
      <c r="AS39" s="58">
        <f>AR39</f>
        <v>20423.219491320706</v>
      </c>
      <c r="AT39" s="58">
        <f>AS39</f>
        <v>20423.219491320706</v>
      </c>
    </row>
    <row r="40" spans="1:46">
      <c r="A40" s="53" t="s">
        <v>69</v>
      </c>
      <c r="B40" s="55"/>
      <c r="C40" s="55"/>
      <c r="AI40" s="58">
        <f>AI39+P34+P33+P17</f>
        <v>17045.533893318403</v>
      </c>
      <c r="AJ40" s="58">
        <f t="shared" ref="AJ40:AT40" si="23">AJ39+AC34+AC33+AC17</f>
        <v>4700.9685607933252</v>
      </c>
      <c r="AK40" s="58">
        <f t="shared" si="23"/>
        <v>19857.551852208526</v>
      </c>
      <c r="AL40" s="58">
        <f t="shared" si="23"/>
        <v>15240.831886165775</v>
      </c>
      <c r="AM40" s="58">
        <f t="shared" si="23"/>
        <v>9582.9804216939738</v>
      </c>
      <c r="AN40" s="58">
        <f t="shared" si="23"/>
        <v>15118.437452728114</v>
      </c>
      <c r="AO40" s="58">
        <f t="shared" si="23"/>
        <v>20423.219491320706</v>
      </c>
      <c r="AP40" s="58">
        <f t="shared" si="23"/>
        <v>20423.219491320706</v>
      </c>
      <c r="AQ40" s="58">
        <f t="shared" si="23"/>
        <v>20423.219491320706</v>
      </c>
      <c r="AR40" s="58">
        <f t="shared" si="23"/>
        <v>20423.219491320706</v>
      </c>
      <c r="AS40" s="58">
        <f t="shared" si="23"/>
        <v>20423.219491320706</v>
      </c>
      <c r="AT40" s="58">
        <f t="shared" si="23"/>
        <v>20423.219491320706</v>
      </c>
    </row>
    <row r="41" spans="1:46">
      <c r="A41" s="53" t="s">
        <v>70</v>
      </c>
      <c r="B41" s="55"/>
      <c r="C41" s="55"/>
      <c r="V41" s="58"/>
      <c r="AI41" s="58">
        <f>P29</f>
        <v>104285.15808608758</v>
      </c>
      <c r="AJ41" s="58">
        <f>AC29</f>
        <v>0</v>
      </c>
      <c r="AK41" s="58"/>
      <c r="AL41" s="58"/>
      <c r="AM41" s="58"/>
      <c r="AN41" s="58"/>
      <c r="AO41" s="58"/>
      <c r="AP41" s="58"/>
      <c r="AQ41" s="58"/>
      <c r="AR41" s="58"/>
      <c r="AS41" s="58"/>
      <c r="AT41" s="58"/>
    </row>
    <row r="42" spans="1:46">
      <c r="A42" s="65" t="s">
        <v>71</v>
      </c>
      <c r="B42" s="55"/>
      <c r="C42" s="55"/>
      <c r="AI42" s="66">
        <f t="shared" ref="AI42:AO42" si="24">AI40-AI41</f>
        <v>-87239.624192769174</v>
      </c>
      <c r="AJ42" s="66">
        <f t="shared" si="24"/>
        <v>4700.9685607933252</v>
      </c>
      <c r="AK42" s="66">
        <f t="shared" si="24"/>
        <v>19857.551852208526</v>
      </c>
      <c r="AL42" s="66">
        <f t="shared" si="24"/>
        <v>15240.831886165775</v>
      </c>
      <c r="AM42" s="66">
        <f t="shared" si="24"/>
        <v>9582.9804216939738</v>
      </c>
      <c r="AN42" s="66">
        <f t="shared" si="24"/>
        <v>15118.437452728114</v>
      </c>
      <c r="AO42" s="66">
        <f t="shared" si="24"/>
        <v>20423.219491320706</v>
      </c>
      <c r="AP42" s="66">
        <f>AP40-AP41</f>
        <v>20423.219491320706</v>
      </c>
      <c r="AQ42" s="66">
        <f>AQ40-AQ41</f>
        <v>20423.219491320706</v>
      </c>
      <c r="AR42" s="66">
        <f>AR40-AR41</f>
        <v>20423.219491320706</v>
      </c>
      <c r="AS42" s="66">
        <f>AS40-AS41</f>
        <v>20423.219491320706</v>
      </c>
      <c r="AT42" s="66">
        <f>AT40-AT41</f>
        <v>20423.219491320706</v>
      </c>
    </row>
    <row r="43" spans="1:46">
      <c r="A43" s="67" t="s">
        <v>72</v>
      </c>
      <c r="B43" s="55"/>
      <c r="C43" s="55"/>
      <c r="AI43" s="68">
        <f>AI42/(1+Исх!$C$7)^'1-Ф3'!AI38</f>
        <v>-79304.423570322688</v>
      </c>
      <c r="AJ43" s="68">
        <f>AJ42/(1+Исх!$C$7)^'1-Ф3'!AJ38</f>
        <v>3884.6741899301051</v>
      </c>
      <c r="AK43" s="68">
        <f>AK42/(1+Исх!$C$7)^'1-Ф3'!AK38</f>
        <v>14916.831547019086</v>
      </c>
      <c r="AL43" s="68">
        <f>AL42/(1+Исх!$C$7)^'1-Ф3'!AL38</f>
        <v>10407.422353084505</v>
      </c>
      <c r="AM43" s="68">
        <f>AM42/(1+Исх!$C$7)^'1-Ф3'!AM38</f>
        <v>5948.6543450178769</v>
      </c>
      <c r="AN43" s="68">
        <f>AN42/(1+Исх!$C$7)^'1-Ф3'!AN38</f>
        <v>8531.1714047235491</v>
      </c>
      <c r="AO43" s="68">
        <f>AO42/(1+Исх!$C$7)^'1-Ф3'!AO38</f>
        <v>10476.340170608459</v>
      </c>
      <c r="AP43" s="68">
        <f>AP42/(1+Исх!$C$7)^'1-Ф3'!AP38</f>
        <v>9523.426150035868</v>
      </c>
      <c r="AQ43" s="68">
        <f>AQ42/(1+Исх!$C$7)^'1-Ф3'!AQ38</f>
        <v>8657.187926145727</v>
      </c>
      <c r="AR43" s="68">
        <f>AR42/(1+Исх!$C$7)^'1-Ф3'!AR38</f>
        <v>7869.7415833188434</v>
      </c>
      <c r="AS43" s="68">
        <f>AS42/(1+Исх!$C$7)^'1-Ф3'!AS38</f>
        <v>7153.9203164544142</v>
      </c>
      <c r="AT43" s="68">
        <f>AT42/(1+Исх!$C$7)^'1-Ф3'!AT38</f>
        <v>6503.2092035474552</v>
      </c>
    </row>
    <row r="44" spans="1:46">
      <c r="A44" s="65" t="s">
        <v>73</v>
      </c>
      <c r="B44" s="55"/>
      <c r="C44" s="55"/>
      <c r="AI44" s="66">
        <f>AI42</f>
        <v>-87239.624192769174</v>
      </c>
      <c r="AJ44" s="66">
        <f t="shared" ref="AJ44:AM45" si="25">AI44+AJ42</f>
        <v>-82538.655631975853</v>
      </c>
      <c r="AK44" s="66">
        <f t="shared" si="25"/>
        <v>-62681.103779767327</v>
      </c>
      <c r="AL44" s="66">
        <f t="shared" si="25"/>
        <v>-47440.271893601552</v>
      </c>
      <c r="AM44" s="66">
        <f t="shared" si="25"/>
        <v>-37857.291471907578</v>
      </c>
      <c r="AN44" s="66">
        <f t="shared" ref="AN44:AT45" si="26">AM44+AN42</f>
        <v>-22738.854019179464</v>
      </c>
      <c r="AO44" s="66">
        <f t="shared" si="26"/>
        <v>-2315.6345278587578</v>
      </c>
      <c r="AP44" s="66">
        <f t="shared" si="26"/>
        <v>18107.584963461948</v>
      </c>
      <c r="AQ44" s="66">
        <f t="shared" si="26"/>
        <v>38530.804454782658</v>
      </c>
      <c r="AR44" s="66">
        <f t="shared" si="26"/>
        <v>58954.023946103363</v>
      </c>
      <c r="AS44" s="66">
        <f t="shared" si="26"/>
        <v>79377.243437424069</v>
      </c>
      <c r="AT44" s="66">
        <f t="shared" si="26"/>
        <v>99800.462928744775</v>
      </c>
    </row>
    <row r="45" spans="1:46">
      <c r="A45" s="67" t="s">
        <v>74</v>
      </c>
      <c r="B45" s="55"/>
      <c r="C45" s="55"/>
      <c r="AI45" s="68">
        <f>AI43</f>
        <v>-79304.423570322688</v>
      </c>
      <c r="AJ45" s="68">
        <f t="shared" si="25"/>
        <v>-75419.749380392575</v>
      </c>
      <c r="AK45" s="68">
        <f t="shared" si="25"/>
        <v>-60502.917833373489</v>
      </c>
      <c r="AL45" s="68">
        <f t="shared" si="25"/>
        <v>-50095.495480288984</v>
      </c>
      <c r="AM45" s="68">
        <f t="shared" si="25"/>
        <v>-44146.841135271105</v>
      </c>
      <c r="AN45" s="68">
        <f t="shared" si="26"/>
        <v>-35615.669730547554</v>
      </c>
      <c r="AO45" s="68">
        <f t="shared" si="26"/>
        <v>-25139.329559939095</v>
      </c>
      <c r="AP45" s="68">
        <f t="shared" si="26"/>
        <v>-15615.903409903227</v>
      </c>
      <c r="AQ45" s="68">
        <f t="shared" si="26"/>
        <v>-6958.7154837574999</v>
      </c>
      <c r="AR45" s="68">
        <f t="shared" si="26"/>
        <v>911.02609956134347</v>
      </c>
      <c r="AS45" s="68">
        <f t="shared" si="26"/>
        <v>8064.9464160157577</v>
      </c>
      <c r="AT45" s="68">
        <f t="shared" si="26"/>
        <v>14568.155619563213</v>
      </c>
    </row>
    <row r="46" spans="1:46">
      <c r="A46" s="53" t="s">
        <v>75</v>
      </c>
      <c r="B46" s="55"/>
      <c r="C46" s="55"/>
      <c r="AI46" s="58">
        <f>NPV(Исх!$C$7,'1-Ф3'!$AI40:AI40)</f>
        <v>15495.094716032219</v>
      </c>
      <c r="AJ46" s="58">
        <f>NPV(Исх!$C$7,'1-Ф3'!$AI40:AJ40)</f>
        <v>19379.768905962323</v>
      </c>
      <c r="AK46" s="58">
        <f>NPV(Исх!$C$7,'1-Ф3'!$AI40:AK40)</f>
        <v>34296.600452981409</v>
      </c>
      <c r="AL46" s="58">
        <f>NPV(Исх!$C$7,'1-Ф3'!$AI40:AL40)</f>
        <v>44704.022806065914</v>
      </c>
      <c r="AM46" s="58">
        <f>NPV(Исх!$C$7,'1-Ф3'!$AI40:AM40)</f>
        <v>50652.677151083786</v>
      </c>
      <c r="AN46" s="58">
        <f>NPV(Исх!$C$7,'1-Ф3'!$AI40:AN40)</f>
        <v>59183.848555807337</v>
      </c>
      <c r="AO46" s="58">
        <f>NPV(Исх!$C$7,'1-Ф3'!$AI40:AO40)</f>
        <v>69660.188726415799</v>
      </c>
      <c r="AP46" s="58">
        <f>NPV(Исх!$C$7,'1-Ф3'!$AI40:AP40)</f>
        <v>79183.614876451669</v>
      </c>
      <c r="AQ46" s="58">
        <f>NPV(Исх!$C$7,'1-Ф3'!$AI40:AQ40)</f>
        <v>87840.802802597391</v>
      </c>
      <c r="AR46" s="58">
        <f>NPV(Исх!$C$7,'1-Ф3'!$AI40:AR40)</f>
        <v>95710.544385916233</v>
      </c>
      <c r="AS46" s="58">
        <f>NPV(Исх!$C$7,'1-Ф3'!$AI40:AS40)</f>
        <v>102864.46470237065</v>
      </c>
      <c r="AT46" s="58">
        <f>NPV(Исх!$C$7,'1-Ф3'!$AI40:AT40)</f>
        <v>109367.6739059181</v>
      </c>
    </row>
    <row r="47" spans="1:46">
      <c r="A47" s="53" t="s">
        <v>76</v>
      </c>
      <c r="B47" s="55"/>
      <c r="C47" s="55"/>
      <c r="AI47" s="58">
        <f>NPV(Исх!$C$7,'1-Ф3'!$AI41:AI41)</f>
        <v>94799.518286354913</v>
      </c>
      <c r="AJ47" s="58">
        <f>NPV(Исх!$C$7,'1-Ф3'!$AI41:AJ41)</f>
        <v>94799.518286354913</v>
      </c>
      <c r="AK47" s="58">
        <f>NPV(Исх!$C$7,'1-Ф3'!$AI41:AK41)</f>
        <v>94799.518286354913</v>
      </c>
      <c r="AL47" s="58">
        <f>NPV(Исх!$C$7,'1-Ф3'!$AI41:AL41)</f>
        <v>94799.518286354913</v>
      </c>
      <c r="AM47" s="58">
        <f>NPV(Исх!$C$7,'1-Ф3'!$AI41:AM41)</f>
        <v>94799.518286354913</v>
      </c>
      <c r="AN47" s="58">
        <f>NPV(Исх!$C$7,'1-Ф3'!$AI41:AN41)</f>
        <v>94799.518286354913</v>
      </c>
      <c r="AO47" s="58">
        <f>NPV(Исх!$C$7,'1-Ф3'!$AI41:AO41)</f>
        <v>94799.518286354913</v>
      </c>
      <c r="AP47" s="58">
        <f>NPV(Исх!$C$7,'1-Ф3'!$AI41:AP41)</f>
        <v>94799.518286354913</v>
      </c>
      <c r="AQ47" s="58">
        <f>NPV(Исх!$C$7,'1-Ф3'!$AI41:AQ41)</f>
        <v>94799.518286354913</v>
      </c>
      <c r="AR47" s="58">
        <f>NPV(Исх!$C$7,'1-Ф3'!$AI41:AR41)</f>
        <v>94799.518286354913</v>
      </c>
      <c r="AS47" s="58">
        <f>NPV(Исх!$C$7,'1-Ф3'!$AI41:AS41)</f>
        <v>94799.518286354913</v>
      </c>
      <c r="AT47" s="58">
        <f>NPV(Исх!$C$7,'1-Ф3'!$AI41:AT41)</f>
        <v>94799.518286354913</v>
      </c>
    </row>
    <row r="48" spans="1:46">
      <c r="A48" s="53" t="s">
        <v>77</v>
      </c>
      <c r="B48" s="55"/>
      <c r="C48" s="55"/>
      <c r="AI48" s="58">
        <f t="shared" ref="AI48:AO48" si="27">AI46-AI47</f>
        <v>-79304.423570322688</v>
      </c>
      <c r="AJ48" s="58">
        <f t="shared" si="27"/>
        <v>-75419.74938039259</v>
      </c>
      <c r="AK48" s="58">
        <f t="shared" si="27"/>
        <v>-60502.917833373504</v>
      </c>
      <c r="AL48" s="58">
        <f t="shared" si="27"/>
        <v>-50095.495480288999</v>
      </c>
      <c r="AM48" s="58">
        <f t="shared" si="27"/>
        <v>-44146.841135271126</v>
      </c>
      <c r="AN48" s="58">
        <f t="shared" si="27"/>
        <v>-35615.669730547575</v>
      </c>
      <c r="AO48" s="58">
        <f t="shared" si="27"/>
        <v>-25139.329559939113</v>
      </c>
      <c r="AP48" s="58">
        <f>AP46-AP47</f>
        <v>-15615.903409903243</v>
      </c>
      <c r="AQ48" s="58">
        <f>AQ46-AQ47</f>
        <v>-6958.7154837575217</v>
      </c>
      <c r="AR48" s="58">
        <f>AR46-AR47</f>
        <v>911.02609956132073</v>
      </c>
      <c r="AS48" s="58">
        <f>AS46-AS47</f>
        <v>8064.9464160157368</v>
      </c>
      <c r="AT48" s="58">
        <f>AT46-AT47</f>
        <v>14568.155619563186</v>
      </c>
    </row>
    <row r="49" spans="1:46">
      <c r="A49" s="53" t="s">
        <v>78</v>
      </c>
      <c r="B49" s="55"/>
      <c r="C49" s="55"/>
      <c r="AI49" s="69">
        <f t="shared" ref="AI49:AO49" si="28">AI46/AI47</f>
        <v>0.16345119675848105</v>
      </c>
      <c r="AJ49" s="69">
        <f t="shared" si="28"/>
        <v>0.2044289808248084</v>
      </c>
      <c r="AK49" s="69">
        <f t="shared" si="28"/>
        <v>0.36178032412974753</v>
      </c>
      <c r="AL49" s="69">
        <f t="shared" si="28"/>
        <v>0.47156381819400495</v>
      </c>
      <c r="AM49" s="69">
        <f t="shared" si="28"/>
        <v>0.53431365545635423</v>
      </c>
      <c r="AN49" s="69">
        <f t="shared" si="28"/>
        <v>0.62430537228084249</v>
      </c>
      <c r="AO49" s="69">
        <f t="shared" si="28"/>
        <v>0.73481585123668747</v>
      </c>
      <c r="AP49" s="69">
        <f>AP46/AP47</f>
        <v>0.83527444345515267</v>
      </c>
      <c r="AQ49" s="69">
        <f>AQ46/AQ47</f>
        <v>0.92659545523493303</v>
      </c>
      <c r="AR49" s="69">
        <f>AR46/AR47</f>
        <v>1.009610028785267</v>
      </c>
      <c r="AS49" s="69">
        <f>AS46/AS47</f>
        <v>1.0850737067213196</v>
      </c>
      <c r="AT49" s="69">
        <f>AT46/AT47</f>
        <v>1.1536733085030884</v>
      </c>
    </row>
    <row r="50" spans="1:46">
      <c r="A50" s="53" t="s">
        <v>79</v>
      </c>
      <c r="B50" s="55"/>
      <c r="C50" s="55"/>
      <c r="AG50" s="70" t="str">
        <f>IF(ISERROR(IRR($AI42:AI$42))," ",IF(IRR($AI42:AI$42)&lt;0," ",IRR($AI42:AI$42)))</f>
        <v xml:space="preserve"> </v>
      </c>
      <c r="AH50" s="70" t="str">
        <f>IF(ISERROR(IRR($AI42:AJ$42))," ",IF(IRR($AI42:AJ$42)&lt;0," ",IRR($AI42:AJ$42)))</f>
        <v xml:space="preserve"> </v>
      </c>
      <c r="AI50" s="70" t="str">
        <f>IF(ISERROR(IRR($AI42:AI$42))," ",IF(IRR($AI42:AI$42)&lt;0," ",IRR($AI42:AI$42)))</f>
        <v xml:space="preserve"> </v>
      </c>
      <c r="AJ50" s="70" t="str">
        <f>IF(ISERROR(IRR($AI42:AJ$42))," ",IF(IRR($AI42:AJ$42)&lt;0," ",IRR($AI42:AJ$42)))</f>
        <v xml:space="preserve"> </v>
      </c>
      <c r="AK50" s="70" t="str">
        <f>IF(ISERROR(IRR($AI42:AK$42))," ",IF(IRR($AI42:AK$42)&lt;0," ",IRR($AI42:AK$42)))</f>
        <v xml:space="preserve"> </v>
      </c>
      <c r="AL50" s="70" t="str">
        <f>IF(ISERROR(IRR($AI42:AL$42))," ",IF(IRR($AI42:AL$42)&lt;0," ",IRR($AI42:AL$42)))</f>
        <v xml:space="preserve"> </v>
      </c>
      <c r="AM50" s="70" t="str">
        <f>IF(ISERROR(IRR($AI42:AM$42))," ",IF(IRR($AI42:AM$42)&lt;0," ",IRR($AI42:AM$42)))</f>
        <v xml:space="preserve"> </v>
      </c>
      <c r="AN50" s="70" t="str">
        <f>IF(ISERROR(IRR($AI42:AN$42))," ",IF(IRR($AI42:AN$42)&lt;0," ",IRR($AI42:AN$42)))</f>
        <v xml:space="preserve"> </v>
      </c>
      <c r="AO50" s="70" t="str">
        <f>IF(ISERROR(IRR($AI42:AO$42))," ",IF(IRR($AI42:AO$42)&lt;0," ",IRR($AI42:AO$42)))</f>
        <v xml:space="preserve"> </v>
      </c>
      <c r="AP50" s="70">
        <f>IF(ISERROR(IRR($AI42:AP$42))," ",IF(IRR($AI42:AP$42)&lt;0," ",IRR($AI42:AP$42)))</f>
        <v>4.4040761088243383E-2</v>
      </c>
      <c r="AQ50" s="70">
        <f>IF(ISERROR(IRR($AI42:AQ$42))," ",IF(IRR($AI42:AQ$42)&lt;0," ",IRR($AI42:AQ$42)))</f>
        <v>7.8375621274166377E-2</v>
      </c>
      <c r="AR50" s="70">
        <f>IF(ISERROR(IRR($AI42:AR$42))," ",IF(IRR($AI42:AR$42)&lt;0," ",IRR($AI42:AR$42)))</f>
        <v>0.10257996778517993</v>
      </c>
      <c r="AS50" s="70">
        <f>IF(ISERROR(IRR($AI42:AS$42))," ",IF(IRR($AI42:AS$42)&lt;0," ",IRR($AI42:AS$42)))</f>
        <v>0.12019347433857962</v>
      </c>
      <c r="AT50" s="70">
        <f>IF(ISERROR(IRR($AI42:AT$42))," ",IF(IRR($AI42:AT$42)&lt;0," ",IRR($AI42:AT$42)))</f>
        <v>0.13332079266365782</v>
      </c>
    </row>
    <row r="51" spans="1:46">
      <c r="A51" s="71" t="s">
        <v>39</v>
      </c>
      <c r="B51" s="59">
        <f>AO38-AO44/AP42-3/12</f>
        <v>6.8633824433920827</v>
      </c>
      <c r="C51" s="55"/>
    </row>
    <row r="52" spans="1:46">
      <c r="A52" s="71" t="s">
        <v>32</v>
      </c>
      <c r="B52" s="59">
        <f>AQ38-AQ45/AR43-3/12</f>
        <v>9.6342368469261555</v>
      </c>
      <c r="C52" s="55"/>
    </row>
    <row r="53" spans="1:46">
      <c r="A53" s="53"/>
      <c r="B53" s="55"/>
      <c r="C53" s="55"/>
    </row>
    <row r="54" spans="1:46">
      <c r="A54" s="53"/>
      <c r="B54" s="55"/>
      <c r="C54" s="55"/>
    </row>
    <row r="55" spans="1:46">
      <c r="A55" s="53"/>
      <c r="B55" s="55"/>
      <c r="C55" s="55"/>
    </row>
    <row r="56" spans="1:46">
      <c r="A56" s="53"/>
      <c r="B56" s="55"/>
      <c r="C56" s="55"/>
    </row>
    <row r="57" spans="1:46">
      <c r="A57" s="53"/>
      <c r="B57" s="55"/>
      <c r="C57" s="55"/>
    </row>
    <row r="58" spans="1:46">
      <c r="A58" s="53"/>
      <c r="B58" s="55"/>
      <c r="C58" s="55"/>
    </row>
    <row r="59" spans="1:46">
      <c r="A59" s="53"/>
      <c r="B59" s="55"/>
      <c r="C59" s="55"/>
    </row>
    <row r="60" spans="1:46">
      <c r="A60" s="53"/>
      <c r="B60" s="55"/>
      <c r="C60" s="55"/>
    </row>
    <row r="61" spans="1:46">
      <c r="A61" s="53"/>
      <c r="B61" s="55"/>
      <c r="C61" s="55"/>
    </row>
    <row r="62" spans="1:46">
      <c r="A62" s="53"/>
      <c r="B62" s="55"/>
      <c r="C62" s="55"/>
    </row>
    <row r="63" spans="1:46">
      <c r="A63" s="53"/>
      <c r="B63" s="55"/>
      <c r="C63" s="55"/>
    </row>
    <row r="64" spans="1:46">
      <c r="A64" s="53"/>
      <c r="B64" s="55"/>
      <c r="C64" s="55"/>
    </row>
    <row r="65" spans="1:3">
      <c r="A65" s="53"/>
      <c r="B65" s="55"/>
      <c r="C65" s="55"/>
    </row>
    <row r="66" spans="1:3">
      <c r="A66" s="53"/>
      <c r="B66" s="55"/>
      <c r="C66" s="55"/>
    </row>
    <row r="67" spans="1:3">
      <c r="A67" s="53"/>
      <c r="B67" s="55"/>
      <c r="C67" s="55"/>
    </row>
    <row r="68" spans="1:3">
      <c r="A68" s="53"/>
      <c r="B68" s="55"/>
      <c r="C68" s="55"/>
    </row>
    <row r="69" spans="1:3">
      <c r="A69" s="53"/>
      <c r="B69" s="55"/>
      <c r="C69" s="55"/>
    </row>
    <row r="70" spans="1:3">
      <c r="A70" s="53"/>
      <c r="B70" s="55"/>
      <c r="C70" s="55"/>
    </row>
    <row r="71" spans="1:3">
      <c r="A71" s="53"/>
      <c r="B71" s="55"/>
      <c r="C71" s="55"/>
    </row>
    <row r="72" spans="1:3">
      <c r="A72" s="53"/>
      <c r="B72" s="55"/>
      <c r="C72" s="55"/>
    </row>
    <row r="73" spans="1:3">
      <c r="A73" s="53"/>
      <c r="B73" s="55"/>
      <c r="C73" s="55"/>
    </row>
    <row r="74" spans="1:3">
      <c r="A74" s="53"/>
      <c r="B74" s="55"/>
      <c r="C74" s="55"/>
    </row>
    <row r="75" spans="1:3">
      <c r="A75" s="53"/>
      <c r="B75" s="55"/>
      <c r="C75" s="55"/>
    </row>
    <row r="76" spans="1:3">
      <c r="A76" s="53"/>
      <c r="B76" s="55"/>
      <c r="C76" s="55"/>
    </row>
    <row r="77" spans="1:3">
      <c r="A77" s="53"/>
      <c r="B77" s="55"/>
      <c r="C77" s="55"/>
    </row>
    <row r="78" spans="1:3">
      <c r="A78" s="53"/>
      <c r="B78" s="55"/>
      <c r="C78" s="55"/>
    </row>
    <row r="79" spans="1:3">
      <c r="A79" s="53"/>
      <c r="B79" s="55"/>
      <c r="C79" s="55"/>
    </row>
    <row r="80" spans="1:3">
      <c r="A80" s="53"/>
      <c r="B80" s="55"/>
      <c r="C80" s="55"/>
    </row>
    <row r="81" spans="1:3">
      <c r="A81" s="53"/>
      <c r="B81" s="55"/>
      <c r="C81" s="55"/>
    </row>
    <row r="82" spans="1:3">
      <c r="A82" s="53"/>
      <c r="B82" s="55"/>
      <c r="C82" s="55"/>
    </row>
    <row r="83" spans="1:3">
      <c r="A83" s="53"/>
      <c r="B83" s="55"/>
      <c r="C83" s="55"/>
    </row>
    <row r="84" spans="1:3">
      <c r="A84" s="53"/>
      <c r="B84" s="55"/>
      <c r="C84" s="55"/>
    </row>
    <row r="85" spans="1:3">
      <c r="A85" s="53"/>
      <c r="B85" s="55"/>
      <c r="C85" s="55"/>
    </row>
    <row r="86" spans="1:3">
      <c r="A86" s="53"/>
      <c r="B86" s="55"/>
      <c r="C86" s="55"/>
    </row>
    <row r="87" spans="1:3">
      <c r="A87" s="53"/>
      <c r="B87" s="55"/>
      <c r="C87" s="55"/>
    </row>
    <row r="88" spans="1:3">
      <c r="A88" s="53"/>
      <c r="B88" s="55"/>
      <c r="C88" s="55"/>
    </row>
    <row r="89" spans="1:3">
      <c r="A89" s="53"/>
      <c r="B89" s="55"/>
      <c r="C89" s="55"/>
    </row>
    <row r="90" spans="1:3">
      <c r="A90" s="53"/>
      <c r="B90" s="55"/>
      <c r="C90" s="55"/>
    </row>
    <row r="91" spans="1:3">
      <c r="A91" s="53"/>
      <c r="B91" s="55"/>
      <c r="C91" s="55"/>
    </row>
    <row r="92" spans="1:3">
      <c r="A92" s="53"/>
      <c r="B92" s="55"/>
      <c r="C92" s="55"/>
    </row>
    <row r="93" spans="1:3">
      <c r="A93" s="53"/>
      <c r="B93" s="55"/>
      <c r="C93" s="55"/>
    </row>
    <row r="94" spans="1:3">
      <c r="A94" s="53"/>
      <c r="B94" s="55"/>
      <c r="C94" s="55"/>
    </row>
    <row r="95" spans="1:3">
      <c r="A95" s="53"/>
      <c r="B95" s="55"/>
      <c r="C95" s="55"/>
    </row>
    <row r="96" spans="1:3">
      <c r="A96" s="53"/>
      <c r="B96" s="55"/>
      <c r="C96" s="55"/>
    </row>
    <row r="97" spans="1:3">
      <c r="A97" s="53"/>
      <c r="B97" s="55"/>
      <c r="C97" s="55"/>
    </row>
    <row r="98" spans="1:3">
      <c r="A98" s="53"/>
      <c r="B98" s="55"/>
      <c r="C98" s="55"/>
    </row>
    <row r="99" spans="1:3">
      <c r="A99" s="53"/>
      <c r="B99" s="55"/>
      <c r="C99" s="55"/>
    </row>
    <row r="100" spans="1:3">
      <c r="A100" s="53"/>
      <c r="B100" s="55"/>
      <c r="C100" s="55"/>
    </row>
    <row r="101" spans="1:3">
      <c r="A101" s="53"/>
      <c r="B101" s="55"/>
      <c r="C101" s="55"/>
    </row>
    <row r="102" spans="1:3">
      <c r="A102" s="53"/>
      <c r="B102" s="55"/>
      <c r="C102" s="55"/>
    </row>
    <row r="103" spans="1:3">
      <c r="A103" s="53"/>
      <c r="B103" s="55"/>
      <c r="C103" s="55"/>
    </row>
    <row r="104" spans="1:3">
      <c r="A104" s="53"/>
      <c r="B104" s="55"/>
      <c r="C104" s="55"/>
    </row>
    <row r="105" spans="1:3">
      <c r="A105" s="53"/>
      <c r="B105" s="55"/>
      <c r="C105" s="55"/>
    </row>
    <row r="106" spans="1:3">
      <c r="A106" s="53"/>
      <c r="B106" s="55"/>
      <c r="C106" s="55"/>
    </row>
    <row r="107" spans="1:3">
      <c r="A107" s="53"/>
      <c r="B107" s="55"/>
      <c r="C107" s="55"/>
    </row>
    <row r="108" spans="1:3">
      <c r="A108" s="53"/>
      <c r="B108" s="55"/>
      <c r="C108" s="55"/>
    </row>
    <row r="109" spans="1:3">
      <c r="A109" s="53"/>
      <c r="B109" s="55"/>
      <c r="C109" s="55"/>
    </row>
    <row r="110" spans="1:3">
      <c r="A110" s="53"/>
      <c r="B110" s="55"/>
      <c r="C110" s="55"/>
    </row>
    <row r="111" spans="1:3">
      <c r="A111" s="53"/>
      <c r="B111" s="55"/>
      <c r="C111" s="55"/>
    </row>
    <row r="112" spans="1:3">
      <c r="A112" s="53"/>
      <c r="B112" s="55"/>
      <c r="C112" s="55"/>
    </row>
    <row r="113" spans="1:3">
      <c r="A113" s="53"/>
      <c r="B113" s="55"/>
      <c r="C113" s="55"/>
    </row>
    <row r="114" spans="1:3">
      <c r="A114" s="53"/>
      <c r="B114" s="55"/>
      <c r="C114" s="55"/>
    </row>
    <row r="115" spans="1:3">
      <c r="A115" s="53"/>
      <c r="B115" s="55"/>
      <c r="C115" s="55"/>
    </row>
    <row r="116" spans="1:3">
      <c r="A116" s="53"/>
      <c r="B116" s="55"/>
      <c r="C116" s="55"/>
    </row>
    <row r="117" spans="1:3">
      <c r="A117" s="53"/>
      <c r="B117" s="55"/>
      <c r="C117" s="55"/>
    </row>
    <row r="118" spans="1:3">
      <c r="A118" s="53"/>
      <c r="B118" s="55"/>
      <c r="C118" s="55"/>
    </row>
    <row r="119" spans="1:3">
      <c r="A119" s="53"/>
      <c r="B119" s="55"/>
      <c r="C119" s="55"/>
    </row>
    <row r="120" spans="1:3">
      <c r="A120" s="53"/>
      <c r="B120" s="55"/>
      <c r="C120" s="55"/>
    </row>
    <row r="121" spans="1:3">
      <c r="A121" s="53"/>
      <c r="B121" s="55"/>
      <c r="C121" s="55"/>
    </row>
    <row r="122" spans="1:3">
      <c r="A122" s="53"/>
      <c r="B122" s="55"/>
      <c r="C122" s="55"/>
    </row>
    <row r="123" spans="1:3">
      <c r="A123" s="53"/>
      <c r="B123" s="55"/>
      <c r="C123" s="55"/>
    </row>
    <row r="124" spans="1:3">
      <c r="A124" s="53"/>
      <c r="B124" s="55"/>
      <c r="C124" s="55"/>
    </row>
    <row r="125" spans="1:3">
      <c r="A125" s="53"/>
      <c r="B125" s="55"/>
      <c r="C125" s="55"/>
    </row>
    <row r="126" spans="1:3">
      <c r="A126" s="53"/>
      <c r="B126" s="55"/>
      <c r="C126" s="55"/>
    </row>
    <row r="127" spans="1:3">
      <c r="A127" s="53"/>
      <c r="B127" s="55"/>
      <c r="C127" s="55"/>
    </row>
    <row r="128" spans="1:3">
      <c r="A128" s="53"/>
      <c r="B128" s="55"/>
      <c r="C128" s="55"/>
    </row>
    <row r="129" spans="1:3">
      <c r="A129" s="53"/>
      <c r="B129" s="55"/>
      <c r="C129" s="55"/>
    </row>
    <row r="130" spans="1:3">
      <c r="A130" s="53"/>
      <c r="B130" s="55"/>
      <c r="C130" s="55"/>
    </row>
    <row r="131" spans="1:3">
      <c r="A131" s="53"/>
      <c r="B131" s="55"/>
      <c r="C131" s="55"/>
    </row>
    <row r="132" spans="1:3">
      <c r="A132" s="53"/>
      <c r="B132" s="55"/>
      <c r="C132" s="55"/>
    </row>
    <row r="133" spans="1:3">
      <c r="A133" s="53"/>
      <c r="B133" s="55"/>
      <c r="C133" s="55"/>
    </row>
    <row r="134" spans="1:3">
      <c r="A134" s="53"/>
      <c r="B134" s="55"/>
      <c r="C134" s="55"/>
    </row>
    <row r="135" spans="1:3">
      <c r="A135" s="53"/>
      <c r="B135" s="55"/>
      <c r="C135" s="55"/>
    </row>
    <row r="136" spans="1:3">
      <c r="A136" s="53"/>
      <c r="B136" s="55"/>
      <c r="C136" s="55"/>
    </row>
    <row r="137" spans="1:3">
      <c r="A137" s="53"/>
      <c r="B137" s="55"/>
      <c r="C137" s="55"/>
    </row>
    <row r="138" spans="1:3">
      <c r="A138" s="53"/>
      <c r="B138" s="55"/>
      <c r="C138" s="55"/>
    </row>
    <row r="139" spans="1:3">
      <c r="A139" s="53"/>
      <c r="B139" s="55"/>
      <c r="C139" s="55"/>
    </row>
    <row r="140" spans="1:3">
      <c r="A140" s="53"/>
      <c r="B140" s="55"/>
      <c r="C140" s="55"/>
    </row>
    <row r="141" spans="1:3">
      <c r="A141" s="53"/>
      <c r="B141" s="55"/>
      <c r="C141" s="55"/>
    </row>
    <row r="142" spans="1:3">
      <c r="A142" s="53"/>
      <c r="B142" s="55"/>
      <c r="C142" s="55"/>
    </row>
    <row r="143" spans="1:3">
      <c r="A143" s="53"/>
      <c r="B143" s="55"/>
      <c r="C143" s="55"/>
    </row>
    <row r="144" spans="1:3">
      <c r="A144" s="53"/>
      <c r="B144" s="55"/>
      <c r="C144" s="55"/>
    </row>
  </sheetData>
  <mergeCells count="4">
    <mergeCell ref="A5:A6"/>
    <mergeCell ref="B5:B6"/>
    <mergeCell ref="D5:P5"/>
    <mergeCell ref="Q5:AC5"/>
  </mergeCells>
  <phoneticPr fontId="3" type="noConversion"/>
  <pageMargins left="0.43307086614173229" right="0.27559055118110237" top="0.71" bottom="0.35433070866141736" header="0.44" footer="0.23622047244094491"/>
  <pageSetup paperSize="9" orientation="landscape" r:id="rId1"/>
  <headerFooter alignWithMargins="0">
    <oddHeader>&amp;RПриложение 1</oddHeader>
  </headerFooter>
  <picture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CP17"/>
  <sheetViews>
    <sheetView showGridLines="0" zoomScaleNormal="100" workbookViewId="0">
      <pane xSplit="2" ySplit="6" topLeftCell="C7" activePane="bottomRight" state="frozen"/>
      <selection activeCell="A34" sqref="A34"/>
      <selection pane="topRight" activeCell="A34" sqref="A34"/>
      <selection pane="bottomLeft" activeCell="A34" sqref="A34"/>
      <selection pane="bottomRight" activeCell="B8" sqref="B8:CO12"/>
    </sheetView>
  </sheetViews>
  <sheetFormatPr defaultRowHeight="12.75" outlineLevelCol="1"/>
  <cols>
    <col min="1" max="1" width="23.28515625" style="183" customWidth="1"/>
    <col min="2" max="2" width="12.140625" style="183" customWidth="1"/>
    <col min="3" max="14" width="9.140625" style="183" hidden="1" customWidth="1" outlineLevel="1"/>
    <col min="15" max="15" width="10.140625" style="184" bestFit="1" customWidth="1" collapsed="1"/>
    <col min="16" max="27" width="9.140625" style="183" hidden="1" customWidth="1" outlineLevel="1"/>
    <col min="28" max="28" width="10.140625" style="184" bestFit="1" customWidth="1" collapsed="1"/>
    <col min="29" max="40" width="9.140625" style="183" hidden="1" customWidth="1" outlineLevel="1"/>
    <col min="41" max="41" width="10.140625" style="184" bestFit="1" customWidth="1" collapsed="1"/>
    <col min="42" max="47" width="9.140625" style="183" hidden="1" customWidth="1" outlineLevel="1"/>
    <col min="48" max="48" width="9.28515625" style="183" hidden="1" customWidth="1" outlineLevel="1"/>
    <col min="49" max="53" width="8.7109375" style="183" hidden="1" customWidth="1" outlineLevel="1"/>
    <col min="54" max="54" width="10.140625" style="184" bestFit="1" customWidth="1" collapsed="1"/>
    <col min="55" max="66" width="8.7109375" style="183" hidden="1" customWidth="1" outlineLevel="1"/>
    <col min="67" max="67" width="10.140625" style="184" bestFit="1" customWidth="1" collapsed="1"/>
    <col min="68" max="79" width="8.7109375" style="183" hidden="1" customWidth="1" outlineLevel="1"/>
    <col min="80" max="80" width="10.140625" style="184" bestFit="1" customWidth="1" collapsed="1"/>
    <col min="81" max="92" width="8.7109375" style="183" hidden="1" customWidth="1" outlineLevel="1"/>
    <col min="93" max="93" width="10.140625" style="184" bestFit="1" customWidth="1" collapsed="1"/>
    <col min="94" max="16384" width="9.140625" style="183"/>
  </cols>
  <sheetData>
    <row r="1" spans="1:94" ht="9.75" customHeight="1"/>
    <row r="2" spans="1:94" ht="18.75" customHeight="1">
      <c r="A2" s="184" t="s">
        <v>109</v>
      </c>
      <c r="B2" s="185"/>
      <c r="D2" s="186"/>
      <c r="E2" s="186"/>
      <c r="F2" s="187"/>
      <c r="G2" s="186"/>
      <c r="O2" s="188"/>
    </row>
    <row r="3" spans="1:94" ht="13.5" customHeight="1">
      <c r="A3" s="189"/>
      <c r="B3" s="185"/>
      <c r="D3" s="186"/>
      <c r="E3" s="186"/>
      <c r="F3" s="187"/>
      <c r="G3" s="186"/>
      <c r="O3" s="188"/>
    </row>
    <row r="4" spans="1:94">
      <c r="A4" s="190"/>
      <c r="B4" s="191"/>
    </row>
    <row r="5" spans="1:94" ht="15.75" customHeight="1">
      <c r="A5" s="192" t="s">
        <v>12</v>
      </c>
      <c r="B5" s="193">
        <f>Исх!C31</f>
        <v>7.0000000000000007E-2</v>
      </c>
      <c r="C5" s="369">
        <v>2012</v>
      </c>
      <c r="D5" s="369"/>
      <c r="E5" s="369"/>
      <c r="F5" s="369"/>
      <c r="G5" s="369"/>
      <c r="H5" s="369"/>
      <c r="I5" s="369"/>
      <c r="J5" s="369"/>
      <c r="K5" s="369"/>
      <c r="L5" s="369"/>
      <c r="M5" s="369"/>
      <c r="N5" s="369"/>
      <c r="O5" s="369"/>
      <c r="P5" s="369">
        <v>2013</v>
      </c>
      <c r="Q5" s="369"/>
      <c r="R5" s="369"/>
      <c r="S5" s="369"/>
      <c r="T5" s="369"/>
      <c r="U5" s="369"/>
      <c r="V5" s="369"/>
      <c r="W5" s="369"/>
      <c r="X5" s="369"/>
      <c r="Y5" s="369"/>
      <c r="Z5" s="369"/>
      <c r="AA5" s="369"/>
      <c r="AB5" s="369"/>
      <c r="AC5" s="369">
        <v>2014</v>
      </c>
      <c r="AD5" s="369"/>
      <c r="AE5" s="369"/>
      <c r="AF5" s="369"/>
      <c r="AG5" s="369"/>
      <c r="AH5" s="369"/>
      <c r="AI5" s="369"/>
      <c r="AJ5" s="369"/>
      <c r="AK5" s="369"/>
      <c r="AL5" s="369"/>
      <c r="AM5" s="369"/>
      <c r="AN5" s="369"/>
      <c r="AO5" s="369"/>
      <c r="AP5" s="369">
        <v>2015</v>
      </c>
      <c r="AQ5" s="369"/>
      <c r="AR5" s="369"/>
      <c r="AS5" s="369"/>
      <c r="AT5" s="369"/>
      <c r="AU5" s="369"/>
      <c r="AV5" s="369"/>
      <c r="AW5" s="369"/>
      <c r="AX5" s="369"/>
      <c r="AY5" s="369"/>
      <c r="AZ5" s="369"/>
      <c r="BA5" s="369"/>
      <c r="BB5" s="369"/>
      <c r="BC5" s="369">
        <v>2016</v>
      </c>
      <c r="BD5" s="369"/>
      <c r="BE5" s="369"/>
      <c r="BF5" s="369"/>
      <c r="BG5" s="369"/>
      <c r="BH5" s="369"/>
      <c r="BI5" s="369"/>
      <c r="BJ5" s="369"/>
      <c r="BK5" s="369"/>
      <c r="BL5" s="369"/>
      <c r="BM5" s="369"/>
      <c r="BN5" s="369"/>
      <c r="BO5" s="369"/>
      <c r="BP5" s="369">
        <v>2017</v>
      </c>
      <c r="BQ5" s="369"/>
      <c r="BR5" s="369"/>
      <c r="BS5" s="369"/>
      <c r="BT5" s="369"/>
      <c r="BU5" s="369"/>
      <c r="BV5" s="369"/>
      <c r="BW5" s="369"/>
      <c r="BX5" s="369"/>
      <c r="BY5" s="369"/>
      <c r="BZ5" s="369"/>
      <c r="CA5" s="369"/>
      <c r="CB5" s="369"/>
      <c r="CC5" s="369">
        <v>2018</v>
      </c>
      <c r="CD5" s="369"/>
      <c r="CE5" s="369"/>
      <c r="CF5" s="369"/>
      <c r="CG5" s="369"/>
      <c r="CH5" s="369"/>
      <c r="CI5" s="369"/>
      <c r="CJ5" s="369"/>
      <c r="CK5" s="369"/>
      <c r="CL5" s="369"/>
      <c r="CM5" s="369"/>
      <c r="CN5" s="369"/>
      <c r="CO5" s="369"/>
    </row>
    <row r="6" spans="1:94" s="198" customFormat="1" ht="15" customHeight="1">
      <c r="A6" s="194" t="s">
        <v>10</v>
      </c>
      <c r="B6" s="195" t="s">
        <v>13</v>
      </c>
      <c r="C6" s="196">
        <v>1</v>
      </c>
      <c r="D6" s="196">
        <v>2</v>
      </c>
      <c r="E6" s="196">
        <f>D6+1</f>
        <v>3</v>
      </c>
      <c r="F6" s="196">
        <f t="shared" ref="F6:N6" si="0">E6+1</f>
        <v>4</v>
      </c>
      <c r="G6" s="196">
        <f t="shared" si="0"/>
        <v>5</v>
      </c>
      <c r="H6" s="196">
        <f t="shared" si="0"/>
        <v>6</v>
      </c>
      <c r="I6" s="196">
        <f t="shared" si="0"/>
        <v>7</v>
      </c>
      <c r="J6" s="196">
        <f t="shared" si="0"/>
        <v>8</v>
      </c>
      <c r="K6" s="196">
        <f t="shared" si="0"/>
        <v>9</v>
      </c>
      <c r="L6" s="196">
        <f t="shared" si="0"/>
        <v>10</v>
      </c>
      <c r="M6" s="196">
        <f t="shared" si="0"/>
        <v>11</v>
      </c>
      <c r="N6" s="196">
        <f t="shared" si="0"/>
        <v>12</v>
      </c>
      <c r="O6" s="197" t="s">
        <v>1</v>
      </c>
      <c r="P6" s="196">
        <v>1</v>
      </c>
      <c r="Q6" s="196">
        <v>2</v>
      </c>
      <c r="R6" s="196">
        <f>Q6+1</f>
        <v>3</v>
      </c>
      <c r="S6" s="196">
        <f t="shared" ref="S6:AA6" si="1">R6+1</f>
        <v>4</v>
      </c>
      <c r="T6" s="196">
        <f t="shared" si="1"/>
        <v>5</v>
      </c>
      <c r="U6" s="196">
        <f t="shared" si="1"/>
        <v>6</v>
      </c>
      <c r="V6" s="196">
        <f t="shared" si="1"/>
        <v>7</v>
      </c>
      <c r="W6" s="196">
        <f t="shared" si="1"/>
        <v>8</v>
      </c>
      <c r="X6" s="196">
        <f t="shared" si="1"/>
        <v>9</v>
      </c>
      <c r="Y6" s="196">
        <f t="shared" si="1"/>
        <v>10</v>
      </c>
      <c r="Z6" s="196">
        <f t="shared" si="1"/>
        <v>11</v>
      </c>
      <c r="AA6" s="196">
        <f t="shared" si="1"/>
        <v>12</v>
      </c>
      <c r="AB6" s="197" t="s">
        <v>1</v>
      </c>
      <c r="AC6" s="196">
        <v>1</v>
      </c>
      <c r="AD6" s="196">
        <v>2</v>
      </c>
      <c r="AE6" s="196">
        <f t="shared" ref="AE6:BN6" si="2">AD6+1</f>
        <v>3</v>
      </c>
      <c r="AF6" s="196">
        <f t="shared" si="2"/>
        <v>4</v>
      </c>
      <c r="AG6" s="196">
        <f t="shared" si="2"/>
        <v>5</v>
      </c>
      <c r="AH6" s="196">
        <f t="shared" si="2"/>
        <v>6</v>
      </c>
      <c r="AI6" s="196">
        <f t="shared" si="2"/>
        <v>7</v>
      </c>
      <c r="AJ6" s="196">
        <f t="shared" si="2"/>
        <v>8</v>
      </c>
      <c r="AK6" s="196">
        <f t="shared" si="2"/>
        <v>9</v>
      </c>
      <c r="AL6" s="196">
        <f t="shared" si="2"/>
        <v>10</v>
      </c>
      <c r="AM6" s="196">
        <f t="shared" si="2"/>
        <v>11</v>
      </c>
      <c r="AN6" s="196">
        <f t="shared" si="2"/>
        <v>12</v>
      </c>
      <c r="AO6" s="197" t="s">
        <v>1</v>
      </c>
      <c r="AP6" s="196">
        <v>1</v>
      </c>
      <c r="AQ6" s="196">
        <v>2</v>
      </c>
      <c r="AR6" s="196">
        <f>AQ6+1</f>
        <v>3</v>
      </c>
      <c r="AS6" s="196">
        <f t="shared" si="2"/>
        <v>4</v>
      </c>
      <c r="AT6" s="196">
        <f t="shared" si="2"/>
        <v>5</v>
      </c>
      <c r="AU6" s="196">
        <f t="shared" si="2"/>
        <v>6</v>
      </c>
      <c r="AV6" s="196">
        <f t="shared" si="2"/>
        <v>7</v>
      </c>
      <c r="AW6" s="196">
        <f t="shared" si="2"/>
        <v>8</v>
      </c>
      <c r="AX6" s="196">
        <f t="shared" si="2"/>
        <v>9</v>
      </c>
      <c r="AY6" s="196">
        <f t="shared" si="2"/>
        <v>10</v>
      </c>
      <c r="AZ6" s="196">
        <f t="shared" si="2"/>
        <v>11</v>
      </c>
      <c r="BA6" s="196">
        <f t="shared" si="2"/>
        <v>12</v>
      </c>
      <c r="BB6" s="197" t="s">
        <v>1</v>
      </c>
      <c r="BC6" s="196">
        <v>1</v>
      </c>
      <c r="BD6" s="196">
        <v>2</v>
      </c>
      <c r="BE6" s="196">
        <f>BD6+1</f>
        <v>3</v>
      </c>
      <c r="BF6" s="196">
        <f t="shared" si="2"/>
        <v>4</v>
      </c>
      <c r="BG6" s="196">
        <f t="shared" si="2"/>
        <v>5</v>
      </c>
      <c r="BH6" s="196">
        <f t="shared" si="2"/>
        <v>6</v>
      </c>
      <c r="BI6" s="196">
        <f t="shared" si="2"/>
        <v>7</v>
      </c>
      <c r="BJ6" s="196">
        <f t="shared" si="2"/>
        <v>8</v>
      </c>
      <c r="BK6" s="196">
        <f t="shared" si="2"/>
        <v>9</v>
      </c>
      <c r="BL6" s="196">
        <f t="shared" si="2"/>
        <v>10</v>
      </c>
      <c r="BM6" s="196">
        <f t="shared" si="2"/>
        <v>11</v>
      </c>
      <c r="BN6" s="196">
        <f t="shared" si="2"/>
        <v>12</v>
      </c>
      <c r="BO6" s="197" t="s">
        <v>1</v>
      </c>
      <c r="BP6" s="196">
        <v>1</v>
      </c>
      <c r="BQ6" s="196">
        <v>2</v>
      </c>
      <c r="BR6" s="196">
        <f t="shared" ref="BR6:CA6" si="3">BQ6+1</f>
        <v>3</v>
      </c>
      <c r="BS6" s="196">
        <f t="shared" si="3"/>
        <v>4</v>
      </c>
      <c r="BT6" s="196">
        <f t="shared" si="3"/>
        <v>5</v>
      </c>
      <c r="BU6" s="196">
        <f t="shared" si="3"/>
        <v>6</v>
      </c>
      <c r="BV6" s="196">
        <f t="shared" si="3"/>
        <v>7</v>
      </c>
      <c r="BW6" s="196">
        <f t="shared" si="3"/>
        <v>8</v>
      </c>
      <c r="BX6" s="196">
        <f t="shared" si="3"/>
        <v>9</v>
      </c>
      <c r="BY6" s="196">
        <f t="shared" si="3"/>
        <v>10</v>
      </c>
      <c r="BZ6" s="196">
        <f t="shared" si="3"/>
        <v>11</v>
      </c>
      <c r="CA6" s="196">
        <f t="shared" si="3"/>
        <v>12</v>
      </c>
      <c r="CB6" s="197" t="s">
        <v>1</v>
      </c>
      <c r="CC6" s="196">
        <v>1</v>
      </c>
      <c r="CD6" s="196">
        <v>2</v>
      </c>
      <c r="CE6" s="196">
        <f t="shared" ref="CE6:CN6" si="4">CD6+1</f>
        <v>3</v>
      </c>
      <c r="CF6" s="196">
        <f t="shared" si="4"/>
        <v>4</v>
      </c>
      <c r="CG6" s="196">
        <f t="shared" si="4"/>
        <v>5</v>
      </c>
      <c r="CH6" s="196">
        <f t="shared" si="4"/>
        <v>6</v>
      </c>
      <c r="CI6" s="196">
        <f t="shared" si="4"/>
        <v>7</v>
      </c>
      <c r="CJ6" s="196">
        <f t="shared" si="4"/>
        <v>8</v>
      </c>
      <c r="CK6" s="196">
        <f t="shared" si="4"/>
        <v>9</v>
      </c>
      <c r="CL6" s="196">
        <f t="shared" si="4"/>
        <v>10</v>
      </c>
      <c r="CM6" s="196">
        <f t="shared" si="4"/>
        <v>11</v>
      </c>
      <c r="CN6" s="196">
        <f t="shared" si="4"/>
        <v>12</v>
      </c>
      <c r="CO6" s="197" t="s">
        <v>1</v>
      </c>
    </row>
    <row r="7" spans="1:94">
      <c r="A7" s="194" t="s">
        <v>119</v>
      </c>
      <c r="B7" s="199">
        <f>O7+AB7+AO7+BB7+BO7+CB7+CO7</f>
        <v>72999.610660261314</v>
      </c>
      <c r="C7" s="200">
        <f>'1-Ф3'!D31</f>
        <v>3924.5763200000001</v>
      </c>
      <c r="D7" s="200">
        <f>'1-Ф3'!E31</f>
        <v>8963.4946240000008</v>
      </c>
      <c r="E7" s="200">
        <f>'1-Ф3'!F31</f>
        <v>45520.646494925</v>
      </c>
      <c r="F7" s="200">
        <f>'1-Ф3'!G31</f>
        <v>295.44661066815888</v>
      </c>
      <c r="G7" s="200">
        <f>'1-Ф3'!H31</f>
        <v>295.44661066815888</v>
      </c>
      <c r="H7" s="200">
        <f>'1-Ф3'!I31</f>
        <v>14000</v>
      </c>
      <c r="I7" s="200">
        <f>'1-Ф3'!J31</f>
        <v>0</v>
      </c>
      <c r="J7" s="200">
        <f>'1-Ф3'!K31</f>
        <v>0</v>
      </c>
      <c r="K7" s="200">
        <f>'1-Ф3'!L31</f>
        <v>0</v>
      </c>
      <c r="L7" s="200">
        <f>'1-Ф3'!M31</f>
        <v>0</v>
      </c>
      <c r="M7" s="200">
        <f>'1-Ф3'!N31</f>
        <v>0</v>
      </c>
      <c r="N7" s="200">
        <f>'1-Ф3'!O31</f>
        <v>0</v>
      </c>
      <c r="O7" s="201">
        <f>SUM(C7:N7)</f>
        <v>72999.610660261314</v>
      </c>
      <c r="P7" s="200"/>
      <c r="Q7" s="200"/>
      <c r="R7" s="200"/>
      <c r="S7" s="200"/>
      <c r="T7" s="200"/>
      <c r="U7" s="200"/>
      <c r="V7" s="200"/>
      <c r="W7" s="200"/>
      <c r="X7" s="200"/>
      <c r="Y7" s="200"/>
      <c r="Z7" s="200"/>
      <c r="AA7" s="200"/>
      <c r="AB7" s="200"/>
      <c r="AC7" s="200"/>
      <c r="AD7" s="200"/>
      <c r="AE7" s="200"/>
      <c r="AF7" s="200"/>
      <c r="AG7" s="200"/>
      <c r="AH7" s="200"/>
      <c r="AI7" s="200"/>
      <c r="AJ7" s="200"/>
      <c r="AK7" s="200"/>
      <c r="AL7" s="200"/>
      <c r="AM7" s="200"/>
      <c r="AN7" s="200"/>
      <c r="AO7" s="200"/>
      <c r="AP7" s="200"/>
      <c r="AQ7" s="200"/>
      <c r="AR7" s="200"/>
      <c r="AS7" s="200"/>
      <c r="AT7" s="200"/>
      <c r="AU7" s="200"/>
      <c r="AV7" s="200"/>
      <c r="AW7" s="200"/>
      <c r="AX7" s="200"/>
      <c r="AY7" s="200"/>
      <c r="AZ7" s="200"/>
      <c r="BA7" s="200"/>
      <c r="BB7" s="200"/>
      <c r="BC7" s="200"/>
      <c r="BD7" s="200"/>
      <c r="BE7" s="200"/>
      <c r="BF7" s="200"/>
      <c r="BG7" s="200"/>
      <c r="BH7" s="200"/>
      <c r="BI7" s="200"/>
      <c r="BJ7" s="200"/>
      <c r="BK7" s="200"/>
      <c r="BL7" s="200"/>
      <c r="BM7" s="200"/>
      <c r="BN7" s="200"/>
      <c r="BO7" s="200"/>
      <c r="BP7" s="200"/>
      <c r="BQ7" s="200"/>
      <c r="BR7" s="200"/>
      <c r="BS7" s="200"/>
      <c r="BT7" s="200"/>
      <c r="BU7" s="200"/>
      <c r="BV7" s="200"/>
      <c r="BW7" s="200"/>
      <c r="BX7" s="200"/>
      <c r="BY7" s="200"/>
      <c r="BZ7" s="200"/>
      <c r="CA7" s="200"/>
      <c r="CB7" s="200"/>
      <c r="CC7" s="200"/>
      <c r="CD7" s="200"/>
      <c r="CE7" s="200"/>
      <c r="CF7" s="200"/>
      <c r="CG7" s="200"/>
      <c r="CH7" s="200"/>
      <c r="CI7" s="200"/>
      <c r="CJ7" s="200"/>
      <c r="CK7" s="200"/>
      <c r="CL7" s="200"/>
      <c r="CM7" s="200"/>
      <c r="CN7" s="200"/>
      <c r="CO7" s="200"/>
      <c r="CP7" s="202"/>
    </row>
    <row r="8" spans="1:94" s="203" customFormat="1" ht="20.25" customHeight="1">
      <c r="A8" s="194" t="s">
        <v>34</v>
      </c>
      <c r="B8" s="199">
        <f>O8+AB8+AO8+BB8+BO8+CB8+CO8</f>
        <v>2402.8898331291202</v>
      </c>
      <c r="C8" s="200"/>
      <c r="D8" s="200"/>
      <c r="E8" s="200"/>
      <c r="F8" s="200"/>
      <c r="G8" s="200"/>
      <c r="H8" s="200"/>
      <c r="I8" s="200"/>
      <c r="J8" s="200"/>
      <c r="K8" s="200">
        <f>SUM(C9:K9)</f>
        <v>2402.8898331291202</v>
      </c>
      <c r="L8" s="200"/>
      <c r="M8" s="200"/>
      <c r="N8" s="200"/>
      <c r="O8" s="201">
        <f>SUM(C8:N8)</f>
        <v>2402.8898331291202</v>
      </c>
      <c r="P8" s="200"/>
      <c r="Q8" s="200"/>
      <c r="R8" s="200"/>
      <c r="S8" s="200"/>
      <c r="T8" s="200"/>
      <c r="U8" s="200"/>
      <c r="V8" s="200"/>
      <c r="W8" s="200"/>
      <c r="X8" s="200"/>
      <c r="Y8" s="200"/>
      <c r="Z8" s="200"/>
      <c r="AA8" s="200"/>
      <c r="AB8" s="201">
        <f>SUM(P8:AA8)</f>
        <v>0</v>
      </c>
      <c r="AC8" s="200"/>
      <c r="AD8" s="200"/>
      <c r="AE8" s="200"/>
      <c r="AF8" s="200"/>
      <c r="AG8" s="200"/>
      <c r="AH8" s="200"/>
      <c r="AI8" s="200"/>
      <c r="AJ8" s="200"/>
      <c r="AK8" s="200"/>
      <c r="AL8" s="200"/>
      <c r="AM8" s="200"/>
      <c r="AN8" s="200"/>
      <c r="AO8" s="201">
        <f>SUM(AC8:AN8)</f>
        <v>0</v>
      </c>
      <c r="AP8" s="200"/>
      <c r="AQ8" s="200"/>
      <c r="AR8" s="200"/>
      <c r="AS8" s="200"/>
      <c r="AT8" s="200"/>
      <c r="AU8" s="200"/>
      <c r="AV8" s="200"/>
      <c r="AW8" s="200"/>
      <c r="AX8" s="200"/>
      <c r="AY8" s="200"/>
      <c r="AZ8" s="200"/>
      <c r="BA8" s="200"/>
      <c r="BB8" s="201">
        <f>SUM(AP8:BA8)</f>
        <v>0</v>
      </c>
      <c r="BC8" s="200"/>
      <c r="BD8" s="200"/>
      <c r="BE8" s="200"/>
      <c r="BF8" s="200"/>
      <c r="BG8" s="200"/>
      <c r="BH8" s="200"/>
      <c r="BI8" s="200"/>
      <c r="BJ8" s="200"/>
      <c r="BK8" s="200"/>
      <c r="BL8" s="200"/>
      <c r="BM8" s="200"/>
      <c r="BN8" s="200"/>
      <c r="BO8" s="201">
        <f>SUM(BC8:BN8)</f>
        <v>0</v>
      </c>
      <c r="BP8" s="200"/>
      <c r="BQ8" s="200"/>
      <c r="BR8" s="200"/>
      <c r="BS8" s="200"/>
      <c r="BT8" s="200"/>
      <c r="BU8" s="200"/>
      <c r="BV8" s="200"/>
      <c r="BW8" s="200"/>
      <c r="BX8" s="200"/>
      <c r="BY8" s="200"/>
      <c r="BZ8" s="200"/>
      <c r="CA8" s="200"/>
      <c r="CB8" s="201">
        <f>SUM(BP8:CA8)</f>
        <v>0</v>
      </c>
      <c r="CC8" s="200"/>
      <c r="CD8" s="200"/>
      <c r="CE8" s="200"/>
      <c r="CF8" s="200"/>
      <c r="CG8" s="200"/>
      <c r="CH8" s="200"/>
      <c r="CI8" s="200"/>
      <c r="CJ8" s="200"/>
      <c r="CK8" s="200"/>
      <c r="CL8" s="200"/>
      <c r="CM8" s="200"/>
      <c r="CN8" s="200"/>
      <c r="CO8" s="201">
        <f>SUM(CC8:CN8)</f>
        <v>0</v>
      </c>
    </row>
    <row r="9" spans="1:94" s="203" customFormat="1">
      <c r="A9" s="204" t="s">
        <v>14</v>
      </c>
      <c r="B9" s="199">
        <f>O9+AB9+AO9+BB9+BO9+CB9+CO9</f>
        <v>19117.110775830668</v>
      </c>
      <c r="C9" s="200"/>
      <c r="D9" s="200">
        <f>C12*$B$5/12</f>
        <v>22.89336186666667</v>
      </c>
      <c r="E9" s="200">
        <f>D12*$B$5/12</f>
        <v>75.180413840000014</v>
      </c>
      <c r="F9" s="200">
        <f>E12*$B$5/12</f>
        <v>340.71751839372922</v>
      </c>
      <c r="G9" s="200">
        <f>F12*$B$5/12</f>
        <v>342.44095695596008</v>
      </c>
      <c r="H9" s="200">
        <f>G12*$B$5/12</f>
        <v>344.16439551819104</v>
      </c>
      <c r="I9" s="200">
        <f t="shared" ref="I9:AA9" si="5">H12*$B$5/12</f>
        <v>425.83106218485773</v>
      </c>
      <c r="J9" s="200">
        <f t="shared" si="5"/>
        <v>425.83106218485773</v>
      </c>
      <c r="K9" s="200">
        <f t="shared" si="5"/>
        <v>425.83106218485773</v>
      </c>
      <c r="L9" s="200">
        <f>K12*$B$5/12</f>
        <v>439.84791954477754</v>
      </c>
      <c r="M9" s="200">
        <f t="shared" si="5"/>
        <v>433.9832806175138</v>
      </c>
      <c r="N9" s="200">
        <f t="shared" si="5"/>
        <v>428.11864169025006</v>
      </c>
      <c r="O9" s="201">
        <f>SUM(C9:N9)</f>
        <v>3704.8396749816616</v>
      </c>
      <c r="P9" s="200">
        <f t="shared" si="5"/>
        <v>422.25400276298637</v>
      </c>
      <c r="Q9" s="200">
        <f t="shared" si="5"/>
        <v>416.38936383572263</v>
      </c>
      <c r="R9" s="200">
        <f t="shared" si="5"/>
        <v>410.52472490845889</v>
      </c>
      <c r="S9" s="200">
        <f t="shared" si="5"/>
        <v>404.66008598119515</v>
      </c>
      <c r="T9" s="200">
        <f t="shared" si="5"/>
        <v>398.79544705393141</v>
      </c>
      <c r="U9" s="200">
        <f t="shared" si="5"/>
        <v>392.93080812666767</v>
      </c>
      <c r="V9" s="200">
        <f t="shared" si="5"/>
        <v>387.06616919940393</v>
      </c>
      <c r="W9" s="200">
        <f t="shared" si="5"/>
        <v>381.20153027214025</v>
      </c>
      <c r="X9" s="200">
        <f t="shared" si="5"/>
        <v>375.33689134487662</v>
      </c>
      <c r="Y9" s="200">
        <f t="shared" si="5"/>
        <v>369.47225241761288</v>
      </c>
      <c r="Z9" s="200">
        <f t="shared" si="5"/>
        <v>363.60761349034919</v>
      </c>
      <c r="AA9" s="200">
        <f t="shared" si="5"/>
        <v>357.74297456308551</v>
      </c>
      <c r="AB9" s="201">
        <f>SUM(P9:AA9)</f>
        <v>4679.9818639564301</v>
      </c>
      <c r="AC9" s="200">
        <f t="shared" ref="AC9:AN9" si="6">AB12*$B$5/12</f>
        <v>351.87833563582177</v>
      </c>
      <c r="AD9" s="200">
        <f t="shared" si="6"/>
        <v>346.01369670855814</v>
      </c>
      <c r="AE9" s="200">
        <f t="shared" si="6"/>
        <v>340.1490577812944</v>
      </c>
      <c r="AF9" s="200">
        <f t="shared" si="6"/>
        <v>334.28441885403078</v>
      </c>
      <c r="AG9" s="200">
        <f t="shared" si="6"/>
        <v>328.41977992676703</v>
      </c>
      <c r="AH9" s="200">
        <f t="shared" si="6"/>
        <v>322.55514099950335</v>
      </c>
      <c r="AI9" s="200">
        <f t="shared" si="6"/>
        <v>316.69050207223967</v>
      </c>
      <c r="AJ9" s="200">
        <f t="shared" si="6"/>
        <v>310.82586314497598</v>
      </c>
      <c r="AK9" s="200">
        <f t="shared" si="6"/>
        <v>304.9612242177123</v>
      </c>
      <c r="AL9" s="200">
        <f t="shared" si="6"/>
        <v>299.09658529044862</v>
      </c>
      <c r="AM9" s="200">
        <f t="shared" si="6"/>
        <v>293.23194636318493</v>
      </c>
      <c r="AN9" s="200">
        <f t="shared" si="6"/>
        <v>287.36730743592119</v>
      </c>
      <c r="AO9" s="201">
        <f>SUM(AC9:AN9)</f>
        <v>3835.4738584304578</v>
      </c>
      <c r="AP9" s="200">
        <f t="shared" ref="AP9:BA9" si="7">AO12*$B$5/12</f>
        <v>281.50266850865756</v>
      </c>
      <c r="AQ9" s="200">
        <f t="shared" si="7"/>
        <v>275.63802958139382</v>
      </c>
      <c r="AR9" s="200">
        <f t="shared" si="7"/>
        <v>269.77339065413014</v>
      </c>
      <c r="AS9" s="200">
        <f t="shared" si="7"/>
        <v>263.90875172686646</v>
      </c>
      <c r="AT9" s="200">
        <f t="shared" si="7"/>
        <v>258.04411279960277</v>
      </c>
      <c r="AU9" s="200">
        <f t="shared" si="7"/>
        <v>252.17947387233906</v>
      </c>
      <c r="AV9" s="200">
        <f t="shared" si="7"/>
        <v>246.3148349450754</v>
      </c>
      <c r="AW9" s="200">
        <f t="shared" si="7"/>
        <v>240.45019601781169</v>
      </c>
      <c r="AX9" s="200">
        <f t="shared" si="7"/>
        <v>234.58555709054801</v>
      </c>
      <c r="AY9" s="200">
        <f t="shared" si="7"/>
        <v>228.72091816328432</v>
      </c>
      <c r="AZ9" s="200">
        <f t="shared" si="7"/>
        <v>222.85627923602064</v>
      </c>
      <c r="BA9" s="200">
        <f t="shared" si="7"/>
        <v>216.99164030875693</v>
      </c>
      <c r="BB9" s="201">
        <f>SUM(AP9:BA9)</f>
        <v>2990.9658529044868</v>
      </c>
      <c r="BC9" s="200">
        <f t="shared" ref="BC9:BN9" si="8">BB12*$B$5/12</f>
        <v>211.12700138149327</v>
      </c>
      <c r="BD9" s="200">
        <f t="shared" si="8"/>
        <v>205.26236245422956</v>
      </c>
      <c r="BE9" s="200">
        <f t="shared" si="8"/>
        <v>199.39772352696585</v>
      </c>
      <c r="BF9" s="200">
        <f t="shared" si="8"/>
        <v>193.53308459970219</v>
      </c>
      <c r="BG9" s="200">
        <f t="shared" si="8"/>
        <v>187.66844567243848</v>
      </c>
      <c r="BH9" s="200">
        <f t="shared" si="8"/>
        <v>181.8038067451748</v>
      </c>
      <c r="BI9" s="200">
        <f t="shared" si="8"/>
        <v>175.93916781791111</v>
      </c>
      <c r="BJ9" s="200">
        <f t="shared" si="8"/>
        <v>170.07452889064743</v>
      </c>
      <c r="BK9" s="200">
        <f t="shared" si="8"/>
        <v>164.20988996338374</v>
      </c>
      <c r="BL9" s="200">
        <f t="shared" si="8"/>
        <v>158.34525103612006</v>
      </c>
      <c r="BM9" s="200">
        <f t="shared" si="8"/>
        <v>152.48061210885635</v>
      </c>
      <c r="BN9" s="200">
        <f t="shared" si="8"/>
        <v>146.61597318159266</v>
      </c>
      <c r="BO9" s="201">
        <f>SUM(BC9:BN9)</f>
        <v>2146.4578473785155</v>
      </c>
      <c r="BP9" s="200">
        <f t="shared" ref="BP9:CA9" si="9">BO12*$B$5/12</f>
        <v>140.75133425432898</v>
      </c>
      <c r="BQ9" s="200">
        <f t="shared" si="9"/>
        <v>134.8866953270653</v>
      </c>
      <c r="BR9" s="200">
        <f t="shared" si="9"/>
        <v>129.02205639980158</v>
      </c>
      <c r="BS9" s="200">
        <f t="shared" si="9"/>
        <v>123.15741747253792</v>
      </c>
      <c r="BT9" s="200">
        <f t="shared" si="9"/>
        <v>117.29277854527423</v>
      </c>
      <c r="BU9" s="200">
        <f t="shared" si="9"/>
        <v>111.42813961801052</v>
      </c>
      <c r="BV9" s="200">
        <f t="shared" si="9"/>
        <v>105.56350069074684</v>
      </c>
      <c r="BW9" s="200">
        <f t="shared" si="9"/>
        <v>99.698861763483151</v>
      </c>
      <c r="BX9" s="200">
        <f t="shared" si="9"/>
        <v>93.834222836219453</v>
      </c>
      <c r="BY9" s="200">
        <f t="shared" si="9"/>
        <v>87.969583908955755</v>
      </c>
      <c r="BZ9" s="200">
        <f t="shared" si="9"/>
        <v>82.104944981692043</v>
      </c>
      <c r="CA9" s="200">
        <f t="shared" si="9"/>
        <v>76.240306054428345</v>
      </c>
      <c r="CB9" s="201">
        <f>SUM(BP9:CA9)</f>
        <v>1301.9498418525441</v>
      </c>
      <c r="CC9" s="200">
        <f t="shared" ref="CC9:CN9" si="10">CB12*$B$5/12</f>
        <v>70.375667127164647</v>
      </c>
      <c r="CD9" s="200">
        <f t="shared" si="10"/>
        <v>64.511028199900949</v>
      </c>
      <c r="CE9" s="200">
        <f t="shared" si="10"/>
        <v>58.646389272637244</v>
      </c>
      <c r="CF9" s="200">
        <f t="shared" si="10"/>
        <v>52.781750345373545</v>
      </c>
      <c r="CG9" s="200">
        <f t="shared" si="10"/>
        <v>46.917111418109847</v>
      </c>
      <c r="CH9" s="200">
        <f t="shared" si="10"/>
        <v>41.052472490846149</v>
      </c>
      <c r="CI9" s="200">
        <f t="shared" si="10"/>
        <v>35.187833563582444</v>
      </c>
      <c r="CJ9" s="200">
        <f t="shared" si="10"/>
        <v>29.323194636318746</v>
      </c>
      <c r="CK9" s="200">
        <f t="shared" si="10"/>
        <v>23.458555709055045</v>
      </c>
      <c r="CL9" s="200">
        <f t="shared" si="10"/>
        <v>17.593916781791346</v>
      </c>
      <c r="CM9" s="200">
        <f t="shared" si="10"/>
        <v>11.729277854527645</v>
      </c>
      <c r="CN9" s="200">
        <f t="shared" si="10"/>
        <v>5.8646389272639441</v>
      </c>
      <c r="CO9" s="201">
        <f>SUM(CC9:CN9)</f>
        <v>457.44183632657155</v>
      </c>
    </row>
    <row r="10" spans="1:94">
      <c r="A10" s="194" t="s">
        <v>15</v>
      </c>
      <c r="B10" s="199">
        <f>O10+AB10+AO10+BB10+BO10+CB10+CO10</f>
        <v>75402.500493390427</v>
      </c>
      <c r="C10" s="205"/>
      <c r="D10" s="205"/>
      <c r="E10" s="205"/>
      <c r="F10" s="205"/>
      <c r="G10" s="205"/>
      <c r="H10" s="205"/>
      <c r="I10" s="205"/>
      <c r="J10" s="205"/>
      <c r="K10" s="205"/>
      <c r="L10" s="200">
        <f>$K$12/$B$13</f>
        <v>1005.3666732452057</v>
      </c>
      <c r="M10" s="200">
        <f t="shared" ref="M10:BX10" si="11">$K$12/$B$13</f>
        <v>1005.3666732452057</v>
      </c>
      <c r="N10" s="200">
        <f t="shared" si="11"/>
        <v>1005.3666732452057</v>
      </c>
      <c r="O10" s="201">
        <f>SUM(C10:N10)</f>
        <v>3016.100019735617</v>
      </c>
      <c r="P10" s="200">
        <f t="shared" si="11"/>
        <v>1005.3666732452057</v>
      </c>
      <c r="Q10" s="200">
        <f t="shared" si="11"/>
        <v>1005.3666732452057</v>
      </c>
      <c r="R10" s="200">
        <f t="shared" si="11"/>
        <v>1005.3666732452057</v>
      </c>
      <c r="S10" s="200">
        <f t="shared" si="11"/>
        <v>1005.3666732452057</v>
      </c>
      <c r="T10" s="200">
        <f t="shared" si="11"/>
        <v>1005.3666732452057</v>
      </c>
      <c r="U10" s="200">
        <f t="shared" si="11"/>
        <v>1005.3666732452057</v>
      </c>
      <c r="V10" s="200">
        <f t="shared" si="11"/>
        <v>1005.3666732452057</v>
      </c>
      <c r="W10" s="200">
        <f t="shared" si="11"/>
        <v>1005.3666732452057</v>
      </c>
      <c r="X10" s="200">
        <f t="shared" si="11"/>
        <v>1005.3666732452057</v>
      </c>
      <c r="Y10" s="200">
        <f t="shared" si="11"/>
        <v>1005.3666732452057</v>
      </c>
      <c r="Z10" s="200">
        <f t="shared" si="11"/>
        <v>1005.3666732452057</v>
      </c>
      <c r="AA10" s="200">
        <f t="shared" si="11"/>
        <v>1005.3666732452057</v>
      </c>
      <c r="AB10" s="201">
        <f>SUM(P10:AA10)</f>
        <v>12064.400078942468</v>
      </c>
      <c r="AC10" s="200">
        <f t="shared" si="11"/>
        <v>1005.3666732452057</v>
      </c>
      <c r="AD10" s="200">
        <f t="shared" si="11"/>
        <v>1005.3666732452057</v>
      </c>
      <c r="AE10" s="200">
        <f t="shared" si="11"/>
        <v>1005.3666732452057</v>
      </c>
      <c r="AF10" s="200">
        <f t="shared" si="11"/>
        <v>1005.3666732452057</v>
      </c>
      <c r="AG10" s="200">
        <f t="shared" si="11"/>
        <v>1005.3666732452057</v>
      </c>
      <c r="AH10" s="200">
        <f t="shared" si="11"/>
        <v>1005.3666732452057</v>
      </c>
      <c r="AI10" s="200">
        <f t="shared" si="11"/>
        <v>1005.3666732452057</v>
      </c>
      <c r="AJ10" s="200">
        <f t="shared" si="11"/>
        <v>1005.3666732452057</v>
      </c>
      <c r="AK10" s="200">
        <f t="shared" si="11"/>
        <v>1005.3666732452057</v>
      </c>
      <c r="AL10" s="200">
        <f t="shared" si="11"/>
        <v>1005.3666732452057</v>
      </c>
      <c r="AM10" s="200">
        <f t="shared" si="11"/>
        <v>1005.3666732452057</v>
      </c>
      <c r="AN10" s="200">
        <f t="shared" si="11"/>
        <v>1005.3666732452057</v>
      </c>
      <c r="AO10" s="201">
        <f>SUM(AC10:AN10)</f>
        <v>12064.400078942468</v>
      </c>
      <c r="AP10" s="200">
        <f t="shared" si="11"/>
        <v>1005.3666732452057</v>
      </c>
      <c r="AQ10" s="200">
        <f t="shared" si="11"/>
        <v>1005.3666732452057</v>
      </c>
      <c r="AR10" s="200">
        <f t="shared" si="11"/>
        <v>1005.3666732452057</v>
      </c>
      <c r="AS10" s="200">
        <f t="shared" si="11"/>
        <v>1005.3666732452057</v>
      </c>
      <c r="AT10" s="200">
        <f t="shared" si="11"/>
        <v>1005.3666732452057</v>
      </c>
      <c r="AU10" s="200">
        <f t="shared" si="11"/>
        <v>1005.3666732452057</v>
      </c>
      <c r="AV10" s="200">
        <f t="shared" si="11"/>
        <v>1005.3666732452057</v>
      </c>
      <c r="AW10" s="200">
        <f t="shared" si="11"/>
        <v>1005.3666732452057</v>
      </c>
      <c r="AX10" s="200">
        <f t="shared" si="11"/>
        <v>1005.3666732452057</v>
      </c>
      <c r="AY10" s="200">
        <f t="shared" si="11"/>
        <v>1005.3666732452057</v>
      </c>
      <c r="AZ10" s="200">
        <f t="shared" si="11"/>
        <v>1005.3666732452057</v>
      </c>
      <c r="BA10" s="200">
        <f t="shared" si="11"/>
        <v>1005.3666732452057</v>
      </c>
      <c r="BB10" s="201">
        <f>SUM(AP10:BA10)</f>
        <v>12064.400078942468</v>
      </c>
      <c r="BC10" s="200">
        <f t="shared" si="11"/>
        <v>1005.3666732452057</v>
      </c>
      <c r="BD10" s="200">
        <f t="shared" si="11"/>
        <v>1005.3666732452057</v>
      </c>
      <c r="BE10" s="200">
        <f t="shared" si="11"/>
        <v>1005.3666732452057</v>
      </c>
      <c r="BF10" s="200">
        <f t="shared" si="11"/>
        <v>1005.3666732452057</v>
      </c>
      <c r="BG10" s="200">
        <f t="shared" si="11"/>
        <v>1005.3666732452057</v>
      </c>
      <c r="BH10" s="200">
        <f t="shared" si="11"/>
        <v>1005.3666732452057</v>
      </c>
      <c r="BI10" s="200">
        <f t="shared" si="11"/>
        <v>1005.3666732452057</v>
      </c>
      <c r="BJ10" s="200">
        <f t="shared" si="11"/>
        <v>1005.3666732452057</v>
      </c>
      <c r="BK10" s="200">
        <f t="shared" si="11"/>
        <v>1005.3666732452057</v>
      </c>
      <c r="BL10" s="200">
        <f t="shared" si="11"/>
        <v>1005.3666732452057</v>
      </c>
      <c r="BM10" s="200">
        <f t="shared" si="11"/>
        <v>1005.3666732452057</v>
      </c>
      <c r="BN10" s="200">
        <f t="shared" si="11"/>
        <v>1005.3666732452057</v>
      </c>
      <c r="BO10" s="201">
        <f>SUM(BC10:BN10)</f>
        <v>12064.400078942468</v>
      </c>
      <c r="BP10" s="200">
        <f t="shared" si="11"/>
        <v>1005.3666732452057</v>
      </c>
      <c r="BQ10" s="200">
        <f t="shared" si="11"/>
        <v>1005.3666732452057</v>
      </c>
      <c r="BR10" s="200">
        <f t="shared" si="11"/>
        <v>1005.3666732452057</v>
      </c>
      <c r="BS10" s="200">
        <f t="shared" si="11"/>
        <v>1005.3666732452057</v>
      </c>
      <c r="BT10" s="200">
        <f t="shared" si="11"/>
        <v>1005.3666732452057</v>
      </c>
      <c r="BU10" s="200">
        <f t="shared" si="11"/>
        <v>1005.3666732452057</v>
      </c>
      <c r="BV10" s="200">
        <f t="shared" si="11"/>
        <v>1005.3666732452057</v>
      </c>
      <c r="BW10" s="200">
        <f t="shared" si="11"/>
        <v>1005.3666732452057</v>
      </c>
      <c r="BX10" s="200">
        <f t="shared" si="11"/>
        <v>1005.3666732452057</v>
      </c>
      <c r="BY10" s="200">
        <f>$K$12/$B$13</f>
        <v>1005.3666732452057</v>
      </c>
      <c r="BZ10" s="200">
        <f>$K$12/$B$13</f>
        <v>1005.3666732452057</v>
      </c>
      <c r="CA10" s="200">
        <f>$K$12/$B$13</f>
        <v>1005.3666732452057</v>
      </c>
      <c r="CB10" s="201">
        <f>SUM(BP10:CA10)</f>
        <v>12064.400078942468</v>
      </c>
      <c r="CC10" s="200">
        <f t="shared" ref="CC10:CN10" si="12">$K$12/$B$13</f>
        <v>1005.3666732452057</v>
      </c>
      <c r="CD10" s="200">
        <f t="shared" si="12"/>
        <v>1005.3666732452057</v>
      </c>
      <c r="CE10" s="200">
        <f t="shared" si="12"/>
        <v>1005.3666732452057</v>
      </c>
      <c r="CF10" s="200">
        <f t="shared" si="12"/>
        <v>1005.3666732452057</v>
      </c>
      <c r="CG10" s="200">
        <f t="shared" si="12"/>
        <v>1005.3666732452057</v>
      </c>
      <c r="CH10" s="200">
        <f t="shared" si="12"/>
        <v>1005.3666732452057</v>
      </c>
      <c r="CI10" s="200">
        <f t="shared" si="12"/>
        <v>1005.3666732452057</v>
      </c>
      <c r="CJ10" s="200">
        <f t="shared" si="12"/>
        <v>1005.3666732452057</v>
      </c>
      <c r="CK10" s="200">
        <f t="shared" si="12"/>
        <v>1005.3666732452057</v>
      </c>
      <c r="CL10" s="200">
        <f t="shared" si="12"/>
        <v>1005.3666732452057</v>
      </c>
      <c r="CM10" s="200">
        <f t="shared" si="12"/>
        <v>1005.3666732452057</v>
      </c>
      <c r="CN10" s="200">
        <f t="shared" si="12"/>
        <v>1005.3666732452057</v>
      </c>
      <c r="CO10" s="201">
        <f>SUM(CC10:CN10)</f>
        <v>12064.400078942468</v>
      </c>
      <c r="CP10" s="202"/>
    </row>
    <row r="11" spans="1:94">
      <c r="A11" s="194" t="s">
        <v>16</v>
      </c>
      <c r="B11" s="199">
        <f>O11+AB11+AO11+BB11+BO11+CB11+CO11</f>
        <v>16714.220942701544</v>
      </c>
      <c r="C11" s="205"/>
      <c r="D11" s="205"/>
      <c r="E11" s="205"/>
      <c r="F11" s="205"/>
      <c r="G11" s="205"/>
      <c r="H11" s="205"/>
      <c r="I11" s="205"/>
      <c r="J11" s="205"/>
      <c r="K11" s="205"/>
      <c r="L11" s="200">
        <f>L9</f>
        <v>439.84791954477754</v>
      </c>
      <c r="M11" s="200">
        <f>M9</f>
        <v>433.9832806175138</v>
      </c>
      <c r="N11" s="200">
        <f>N9</f>
        <v>428.11864169025006</v>
      </c>
      <c r="O11" s="201">
        <f>SUM(C11:N11)</f>
        <v>1301.9498418525413</v>
      </c>
      <c r="P11" s="200">
        <f t="shared" ref="P11:BN11" si="13">P9</f>
        <v>422.25400276298637</v>
      </c>
      <c r="Q11" s="200">
        <f t="shared" si="13"/>
        <v>416.38936383572263</v>
      </c>
      <c r="R11" s="200">
        <f t="shared" si="13"/>
        <v>410.52472490845889</v>
      </c>
      <c r="S11" s="200">
        <f t="shared" si="13"/>
        <v>404.66008598119515</v>
      </c>
      <c r="T11" s="200">
        <f t="shared" si="13"/>
        <v>398.79544705393141</v>
      </c>
      <c r="U11" s="200">
        <f t="shared" si="13"/>
        <v>392.93080812666767</v>
      </c>
      <c r="V11" s="200">
        <f t="shared" si="13"/>
        <v>387.06616919940393</v>
      </c>
      <c r="W11" s="200">
        <f t="shared" si="13"/>
        <v>381.20153027214025</v>
      </c>
      <c r="X11" s="200">
        <f t="shared" si="13"/>
        <v>375.33689134487662</v>
      </c>
      <c r="Y11" s="200">
        <f t="shared" si="13"/>
        <v>369.47225241761288</v>
      </c>
      <c r="Z11" s="200">
        <f t="shared" si="13"/>
        <v>363.60761349034919</v>
      </c>
      <c r="AA11" s="200">
        <f t="shared" si="13"/>
        <v>357.74297456308551</v>
      </c>
      <c r="AB11" s="201">
        <f>SUM(P11:AA11)</f>
        <v>4679.9818639564301</v>
      </c>
      <c r="AC11" s="200">
        <f t="shared" si="13"/>
        <v>351.87833563582177</v>
      </c>
      <c r="AD11" s="200">
        <f t="shared" si="13"/>
        <v>346.01369670855814</v>
      </c>
      <c r="AE11" s="200">
        <f t="shared" si="13"/>
        <v>340.1490577812944</v>
      </c>
      <c r="AF11" s="200">
        <f t="shared" si="13"/>
        <v>334.28441885403078</v>
      </c>
      <c r="AG11" s="200">
        <f t="shared" si="13"/>
        <v>328.41977992676703</v>
      </c>
      <c r="AH11" s="200">
        <f t="shared" si="13"/>
        <v>322.55514099950335</v>
      </c>
      <c r="AI11" s="200">
        <f t="shared" si="13"/>
        <v>316.69050207223967</v>
      </c>
      <c r="AJ11" s="200">
        <f t="shared" si="13"/>
        <v>310.82586314497598</v>
      </c>
      <c r="AK11" s="200">
        <f t="shared" si="13"/>
        <v>304.9612242177123</v>
      </c>
      <c r="AL11" s="200">
        <f t="shared" si="13"/>
        <v>299.09658529044862</v>
      </c>
      <c r="AM11" s="200">
        <f t="shared" si="13"/>
        <v>293.23194636318493</v>
      </c>
      <c r="AN11" s="200">
        <f t="shared" si="13"/>
        <v>287.36730743592119</v>
      </c>
      <c r="AO11" s="201">
        <f>SUM(AC11:AN11)</f>
        <v>3835.4738584304578</v>
      </c>
      <c r="AP11" s="200">
        <f t="shared" si="13"/>
        <v>281.50266850865756</v>
      </c>
      <c r="AQ11" s="200">
        <f t="shared" si="13"/>
        <v>275.63802958139382</v>
      </c>
      <c r="AR11" s="200">
        <f t="shared" si="13"/>
        <v>269.77339065413014</v>
      </c>
      <c r="AS11" s="200">
        <f t="shared" si="13"/>
        <v>263.90875172686646</v>
      </c>
      <c r="AT11" s="200">
        <f t="shared" si="13"/>
        <v>258.04411279960277</v>
      </c>
      <c r="AU11" s="200">
        <f t="shared" si="13"/>
        <v>252.17947387233906</v>
      </c>
      <c r="AV11" s="200">
        <f t="shared" si="13"/>
        <v>246.3148349450754</v>
      </c>
      <c r="AW11" s="200">
        <f t="shared" si="13"/>
        <v>240.45019601781169</v>
      </c>
      <c r="AX11" s="200">
        <f t="shared" si="13"/>
        <v>234.58555709054801</v>
      </c>
      <c r="AY11" s="200">
        <f t="shared" si="13"/>
        <v>228.72091816328432</v>
      </c>
      <c r="AZ11" s="200">
        <f t="shared" si="13"/>
        <v>222.85627923602064</v>
      </c>
      <c r="BA11" s="200">
        <f t="shared" si="13"/>
        <v>216.99164030875693</v>
      </c>
      <c r="BB11" s="201">
        <f>SUM(AP11:BA11)</f>
        <v>2990.9658529044868</v>
      </c>
      <c r="BC11" s="200">
        <f t="shared" si="13"/>
        <v>211.12700138149327</v>
      </c>
      <c r="BD11" s="200">
        <f t="shared" si="13"/>
        <v>205.26236245422956</v>
      </c>
      <c r="BE11" s="200">
        <f t="shared" si="13"/>
        <v>199.39772352696585</v>
      </c>
      <c r="BF11" s="200">
        <f t="shared" si="13"/>
        <v>193.53308459970219</v>
      </c>
      <c r="BG11" s="200">
        <f t="shared" si="13"/>
        <v>187.66844567243848</v>
      </c>
      <c r="BH11" s="200">
        <f t="shared" si="13"/>
        <v>181.8038067451748</v>
      </c>
      <c r="BI11" s="200">
        <f t="shared" si="13"/>
        <v>175.93916781791111</v>
      </c>
      <c r="BJ11" s="200">
        <f t="shared" si="13"/>
        <v>170.07452889064743</v>
      </c>
      <c r="BK11" s="200">
        <f t="shared" si="13"/>
        <v>164.20988996338374</v>
      </c>
      <c r="BL11" s="200">
        <f t="shared" si="13"/>
        <v>158.34525103612006</v>
      </c>
      <c r="BM11" s="200">
        <f t="shared" si="13"/>
        <v>152.48061210885635</v>
      </c>
      <c r="BN11" s="200">
        <f t="shared" si="13"/>
        <v>146.61597318159266</v>
      </c>
      <c r="BO11" s="201">
        <f>SUM(BC11:BN11)</f>
        <v>2146.4578473785155</v>
      </c>
      <c r="BP11" s="200">
        <f t="shared" ref="BP11:CA11" si="14">BP9</f>
        <v>140.75133425432898</v>
      </c>
      <c r="BQ11" s="200">
        <f t="shared" si="14"/>
        <v>134.8866953270653</v>
      </c>
      <c r="BR11" s="200">
        <f t="shared" si="14"/>
        <v>129.02205639980158</v>
      </c>
      <c r="BS11" s="200">
        <f t="shared" si="14"/>
        <v>123.15741747253792</v>
      </c>
      <c r="BT11" s="200">
        <f t="shared" si="14"/>
        <v>117.29277854527423</v>
      </c>
      <c r="BU11" s="200">
        <f t="shared" si="14"/>
        <v>111.42813961801052</v>
      </c>
      <c r="BV11" s="200">
        <f t="shared" si="14"/>
        <v>105.56350069074684</v>
      </c>
      <c r="BW11" s="200">
        <f t="shared" si="14"/>
        <v>99.698861763483151</v>
      </c>
      <c r="BX11" s="200">
        <f t="shared" si="14"/>
        <v>93.834222836219453</v>
      </c>
      <c r="BY11" s="200">
        <f t="shared" si="14"/>
        <v>87.969583908955755</v>
      </c>
      <c r="BZ11" s="200">
        <f t="shared" si="14"/>
        <v>82.104944981692043</v>
      </c>
      <c r="CA11" s="200">
        <f t="shared" si="14"/>
        <v>76.240306054428345</v>
      </c>
      <c r="CB11" s="201">
        <f>SUM(BP11:CA11)</f>
        <v>1301.9498418525441</v>
      </c>
      <c r="CC11" s="200">
        <f t="shared" ref="CC11:CN11" si="15">CC9</f>
        <v>70.375667127164647</v>
      </c>
      <c r="CD11" s="200">
        <f t="shared" si="15"/>
        <v>64.511028199900949</v>
      </c>
      <c r="CE11" s="200">
        <f t="shared" si="15"/>
        <v>58.646389272637244</v>
      </c>
      <c r="CF11" s="200">
        <f t="shared" si="15"/>
        <v>52.781750345373545</v>
      </c>
      <c r="CG11" s="200">
        <f t="shared" si="15"/>
        <v>46.917111418109847</v>
      </c>
      <c r="CH11" s="200">
        <f t="shared" si="15"/>
        <v>41.052472490846149</v>
      </c>
      <c r="CI11" s="200">
        <f t="shared" si="15"/>
        <v>35.187833563582444</v>
      </c>
      <c r="CJ11" s="200">
        <f t="shared" si="15"/>
        <v>29.323194636318746</v>
      </c>
      <c r="CK11" s="200">
        <f t="shared" si="15"/>
        <v>23.458555709055045</v>
      </c>
      <c r="CL11" s="200">
        <f t="shared" si="15"/>
        <v>17.593916781791346</v>
      </c>
      <c r="CM11" s="200">
        <f t="shared" si="15"/>
        <v>11.729277854527645</v>
      </c>
      <c r="CN11" s="200">
        <f t="shared" si="15"/>
        <v>5.8646389272639441</v>
      </c>
      <c r="CO11" s="201">
        <f>SUM(CC11:CN11)</f>
        <v>457.44183632657155</v>
      </c>
      <c r="CP11" s="202" t="s">
        <v>63</v>
      </c>
    </row>
    <row r="12" spans="1:94">
      <c r="A12" s="194" t="s">
        <v>17</v>
      </c>
      <c r="B12" s="199">
        <f>CO12</f>
        <v>4.1836756281554699E-11</v>
      </c>
      <c r="C12" s="200">
        <f>C7</f>
        <v>3924.5763200000001</v>
      </c>
      <c r="D12" s="200">
        <f>C12+D7-D10+D8</f>
        <v>12888.070944000001</v>
      </c>
      <c r="E12" s="200">
        <f>D12+E7-E10+E8</f>
        <v>58408.717438924999</v>
      </c>
      <c r="F12" s="200">
        <f>E12+F7-F10+F8</f>
        <v>58704.164049593157</v>
      </c>
      <c r="G12" s="200">
        <f t="shared" ref="G12:M12" si="16">F12+G7-G10+G8</f>
        <v>58999.610660261314</v>
      </c>
      <c r="H12" s="200">
        <f>G12+H7-H10+H8</f>
        <v>72999.610660261314</v>
      </c>
      <c r="I12" s="200">
        <f t="shared" si="16"/>
        <v>72999.610660261314</v>
      </c>
      <c r="J12" s="200">
        <f t="shared" si="16"/>
        <v>72999.610660261314</v>
      </c>
      <c r="K12" s="200">
        <f t="shared" si="16"/>
        <v>75402.500493390427</v>
      </c>
      <c r="L12" s="200">
        <f t="shared" si="16"/>
        <v>74397.133820145216</v>
      </c>
      <c r="M12" s="200">
        <f t="shared" si="16"/>
        <v>73391.767146900005</v>
      </c>
      <c r="N12" s="200">
        <f>M12+N7-N10+N8</f>
        <v>72386.400473654794</v>
      </c>
      <c r="O12" s="201">
        <f>N12</f>
        <v>72386.400473654794</v>
      </c>
      <c r="P12" s="200">
        <f>O12+P7-P10+P8</f>
        <v>71381.033800409583</v>
      </c>
      <c r="Q12" s="200">
        <f t="shared" ref="Q12:Z12" si="17">P12+Q7-Q10+Q8</f>
        <v>70375.667127164372</v>
      </c>
      <c r="R12" s="200">
        <f t="shared" si="17"/>
        <v>69370.300453919161</v>
      </c>
      <c r="S12" s="200">
        <f t="shared" si="17"/>
        <v>68364.93378067395</v>
      </c>
      <c r="T12" s="200">
        <f t="shared" si="17"/>
        <v>67359.567107428738</v>
      </c>
      <c r="U12" s="200">
        <f t="shared" si="17"/>
        <v>66354.200434183527</v>
      </c>
      <c r="V12" s="200">
        <f t="shared" si="17"/>
        <v>65348.833760938323</v>
      </c>
      <c r="W12" s="200">
        <f t="shared" si="17"/>
        <v>64343.46708769312</v>
      </c>
      <c r="X12" s="200">
        <f t="shared" si="17"/>
        <v>63338.100414447916</v>
      </c>
      <c r="Y12" s="200">
        <f t="shared" si="17"/>
        <v>62332.733741202712</v>
      </c>
      <c r="Z12" s="200">
        <f t="shared" si="17"/>
        <v>61327.367067957508</v>
      </c>
      <c r="AA12" s="200">
        <f>Z12+AA7-AA10+AA8</f>
        <v>60322.000394712304</v>
      </c>
      <c r="AB12" s="201">
        <f>AA12</f>
        <v>60322.000394712304</v>
      </c>
      <c r="AC12" s="200">
        <f>AB12+AC7-AC10+AC8</f>
        <v>59316.6337214671</v>
      </c>
      <c r="AD12" s="200">
        <f t="shared" ref="AD12:AN12" si="18">AC12+AD7-AD10+AD8</f>
        <v>58311.267048221896</v>
      </c>
      <c r="AE12" s="200">
        <f t="shared" si="18"/>
        <v>57305.900374976693</v>
      </c>
      <c r="AF12" s="200">
        <f t="shared" si="18"/>
        <v>56300.533701731489</v>
      </c>
      <c r="AG12" s="200">
        <f t="shared" si="18"/>
        <v>55295.167028486285</v>
      </c>
      <c r="AH12" s="200">
        <f t="shared" si="18"/>
        <v>54289.800355241081</v>
      </c>
      <c r="AI12" s="200">
        <f t="shared" si="18"/>
        <v>53284.433681995877</v>
      </c>
      <c r="AJ12" s="200">
        <f t="shared" si="18"/>
        <v>52279.067008750673</v>
      </c>
      <c r="AK12" s="200">
        <f t="shared" si="18"/>
        <v>51273.700335505469</v>
      </c>
      <c r="AL12" s="200">
        <f t="shared" si="18"/>
        <v>50268.333662260266</v>
      </c>
      <c r="AM12" s="200">
        <f t="shared" si="18"/>
        <v>49262.966989015062</v>
      </c>
      <c r="AN12" s="200">
        <f t="shared" si="18"/>
        <v>48257.600315769858</v>
      </c>
      <c r="AO12" s="201">
        <f>AN12</f>
        <v>48257.600315769858</v>
      </c>
      <c r="AP12" s="200">
        <f>AO12+AP7-AP10+AP8</f>
        <v>47252.233642524654</v>
      </c>
      <c r="AQ12" s="200">
        <f t="shared" ref="AQ12:BA12" si="19">AP12+AQ7-AQ10+AQ8</f>
        <v>46246.86696927945</v>
      </c>
      <c r="AR12" s="200">
        <f t="shared" si="19"/>
        <v>45241.500296034246</v>
      </c>
      <c r="AS12" s="200">
        <f t="shared" si="19"/>
        <v>44236.133622789042</v>
      </c>
      <c r="AT12" s="200">
        <f t="shared" si="19"/>
        <v>43230.766949543839</v>
      </c>
      <c r="AU12" s="200">
        <f t="shared" si="19"/>
        <v>42225.400276298635</v>
      </c>
      <c r="AV12" s="200">
        <f t="shared" si="19"/>
        <v>41220.033603053431</v>
      </c>
      <c r="AW12" s="200">
        <f t="shared" si="19"/>
        <v>40214.666929808227</v>
      </c>
      <c r="AX12" s="200">
        <f t="shared" si="19"/>
        <v>39209.300256563023</v>
      </c>
      <c r="AY12" s="200">
        <f t="shared" si="19"/>
        <v>38203.933583317819</v>
      </c>
      <c r="AZ12" s="200">
        <f t="shared" si="19"/>
        <v>37198.566910072615</v>
      </c>
      <c r="BA12" s="200">
        <f t="shared" si="19"/>
        <v>36193.200236827412</v>
      </c>
      <c r="BB12" s="201">
        <f>BA12</f>
        <v>36193.200236827412</v>
      </c>
      <c r="BC12" s="200">
        <f>BB12+BC7-BC10+BC8</f>
        <v>35187.833563582208</v>
      </c>
      <c r="BD12" s="200">
        <f t="shared" ref="BD12:BN12" si="20">BC12+BD7-BD10+BD8</f>
        <v>34182.466890337004</v>
      </c>
      <c r="BE12" s="200">
        <f t="shared" si="20"/>
        <v>33177.1002170918</v>
      </c>
      <c r="BF12" s="200">
        <f t="shared" si="20"/>
        <v>32171.733543846596</v>
      </c>
      <c r="BG12" s="200">
        <f t="shared" si="20"/>
        <v>31166.366870601392</v>
      </c>
      <c r="BH12" s="200">
        <f t="shared" si="20"/>
        <v>30161.000197356188</v>
      </c>
      <c r="BI12" s="200">
        <f t="shared" si="20"/>
        <v>29155.633524110985</v>
      </c>
      <c r="BJ12" s="200">
        <f t="shared" si="20"/>
        <v>28150.266850865781</v>
      </c>
      <c r="BK12" s="200">
        <f t="shared" si="20"/>
        <v>27144.900177620577</v>
      </c>
      <c r="BL12" s="200">
        <f t="shared" si="20"/>
        <v>26139.533504375373</v>
      </c>
      <c r="BM12" s="200">
        <f t="shared" si="20"/>
        <v>25134.166831130169</v>
      </c>
      <c r="BN12" s="200">
        <f t="shared" si="20"/>
        <v>24128.800157884965</v>
      </c>
      <c r="BO12" s="201">
        <f>BN12</f>
        <v>24128.800157884965</v>
      </c>
      <c r="BP12" s="200">
        <f t="shared" ref="BP12:CA12" si="21">BO12+BP7-BP10+BP8</f>
        <v>23123.433484639761</v>
      </c>
      <c r="BQ12" s="200">
        <f t="shared" si="21"/>
        <v>22118.066811394558</v>
      </c>
      <c r="BR12" s="200">
        <f t="shared" si="21"/>
        <v>21112.700138149354</v>
      </c>
      <c r="BS12" s="200">
        <f t="shared" si="21"/>
        <v>20107.33346490415</v>
      </c>
      <c r="BT12" s="200">
        <f t="shared" si="21"/>
        <v>19101.966791658946</v>
      </c>
      <c r="BU12" s="200">
        <f t="shared" si="21"/>
        <v>18096.600118413742</v>
      </c>
      <c r="BV12" s="200">
        <f t="shared" si="21"/>
        <v>17091.233445168538</v>
      </c>
      <c r="BW12" s="200">
        <f t="shared" si="21"/>
        <v>16085.866771923333</v>
      </c>
      <c r="BX12" s="200">
        <f t="shared" si="21"/>
        <v>15080.500098678127</v>
      </c>
      <c r="BY12" s="200">
        <f t="shared" si="21"/>
        <v>14075.133425432921</v>
      </c>
      <c r="BZ12" s="200">
        <f t="shared" si="21"/>
        <v>13069.766752187716</v>
      </c>
      <c r="CA12" s="200">
        <f t="shared" si="21"/>
        <v>12064.40007894251</v>
      </c>
      <c r="CB12" s="201">
        <f>CA12</f>
        <v>12064.40007894251</v>
      </c>
      <c r="CC12" s="200">
        <f t="shared" ref="CC12:CN12" si="22">CB12+CC7-CC10+CC8</f>
        <v>11059.033405697304</v>
      </c>
      <c r="CD12" s="200">
        <f t="shared" si="22"/>
        <v>10053.666732452099</v>
      </c>
      <c r="CE12" s="200">
        <f t="shared" si="22"/>
        <v>9048.3000592068929</v>
      </c>
      <c r="CF12" s="200">
        <f t="shared" si="22"/>
        <v>8042.9333859616872</v>
      </c>
      <c r="CG12" s="200">
        <f t="shared" si="22"/>
        <v>7037.5667127164816</v>
      </c>
      <c r="CH12" s="200">
        <f t="shared" si="22"/>
        <v>6032.2000394712759</v>
      </c>
      <c r="CI12" s="200">
        <f t="shared" si="22"/>
        <v>5026.8333662260702</v>
      </c>
      <c r="CJ12" s="200">
        <f t="shared" si="22"/>
        <v>4021.4666929808645</v>
      </c>
      <c r="CK12" s="200">
        <f t="shared" si="22"/>
        <v>3016.1000197356589</v>
      </c>
      <c r="CL12" s="200">
        <f t="shared" si="22"/>
        <v>2010.7333464904532</v>
      </c>
      <c r="CM12" s="200">
        <f t="shared" si="22"/>
        <v>1005.3666732452475</v>
      </c>
      <c r="CN12" s="200">
        <f t="shared" si="22"/>
        <v>4.1836756281554699E-11</v>
      </c>
      <c r="CO12" s="201">
        <f>CN12</f>
        <v>4.1836756281554699E-11</v>
      </c>
      <c r="CP12" s="206">
        <f>MAX(C12:BO12)</f>
        <v>75402.500493390427</v>
      </c>
    </row>
    <row r="13" spans="1:94">
      <c r="A13" s="183" t="s">
        <v>85</v>
      </c>
      <c r="B13" s="183">
        <f>Исх!C32*12-Исх!C33</f>
        <v>75</v>
      </c>
      <c r="CP13" s="186"/>
    </row>
    <row r="16" spans="1:94" hidden="1">
      <c r="A16" s="207">
        <f>B7+B8-B10</f>
        <v>0</v>
      </c>
    </row>
    <row r="17" spans="1:1" hidden="1">
      <c r="A17" s="207">
        <f>B9-B8-B11</f>
        <v>0</v>
      </c>
    </row>
  </sheetData>
  <mergeCells count="7">
    <mergeCell ref="CC5:CO5"/>
    <mergeCell ref="C5:O5"/>
    <mergeCell ref="P5:AB5"/>
    <mergeCell ref="AC5:AO5"/>
    <mergeCell ref="AP5:BB5"/>
    <mergeCell ref="BC5:BO5"/>
    <mergeCell ref="BP5:CB5"/>
  </mergeCells>
  <pageMargins left="0.35433070866141736" right="0.19685039370078741" top="0.19685039370078741" bottom="0.31496062992125984" header="0.19685039370078741" footer="0.23622047244094491"/>
  <pageSetup paperSize="9" scale="110" orientation="landscape" r:id="rId1"/>
  <headerFooter alignWithMargins="0"/>
  <picture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enableFormatConditionsCalculation="0">
    <tabColor rgb="FFFFC000"/>
  </sheetPr>
  <dimension ref="A1:S29"/>
  <sheetViews>
    <sheetView showGridLines="0" zoomScaleNormal="100" workbookViewId="0">
      <pane xSplit="2" ySplit="4" topLeftCell="C5" activePane="bottomRight" state="frozen"/>
      <selection activeCell="A34" sqref="A34"/>
      <selection pane="topRight" activeCell="A34" sqref="A34"/>
      <selection pane="bottomLeft" activeCell="A34" sqref="A34"/>
      <selection pane="bottomRight" activeCell="K14" sqref="K14"/>
    </sheetView>
  </sheetViews>
  <sheetFormatPr defaultColWidth="8.85546875" defaultRowHeight="12.75" outlineLevelRow="1" outlineLevelCol="1"/>
  <cols>
    <col min="1" max="1" width="38.140625" style="78" customWidth="1"/>
    <col min="2" max="2" width="10" style="78" customWidth="1"/>
    <col min="3" max="3" width="9" style="78" customWidth="1"/>
    <col min="4" max="4" width="10" style="78" customWidth="1"/>
    <col min="5" max="5" width="7.42578125" style="78" bestFit="1" customWidth="1" outlineLevel="1"/>
    <col min="6" max="6" width="6.7109375" style="78" customWidth="1" outlineLevel="1"/>
    <col min="7" max="7" width="6.5703125" style="78" bestFit="1" customWidth="1" outlineLevel="1"/>
    <col min="8" max="16" width="5.28515625" style="78" customWidth="1" outlineLevel="1"/>
    <col min="17" max="17" width="10.140625" style="78" customWidth="1"/>
    <col min="18" max="18" width="8.85546875" style="78"/>
    <col min="19" max="19" width="16" style="78" customWidth="1"/>
    <col min="20" max="20" width="12.85546875" style="78" bestFit="1" customWidth="1"/>
    <col min="21" max="16384" width="8.85546875" style="78"/>
  </cols>
  <sheetData>
    <row r="1" spans="1:19" ht="8.25" customHeight="1"/>
    <row r="2" spans="1:19">
      <c r="A2" s="62" t="s">
        <v>66</v>
      </c>
      <c r="B2" s="177"/>
      <c r="Q2" s="151" t="s">
        <v>65</v>
      </c>
      <c r="R2" s="208"/>
      <c r="S2" s="175"/>
    </row>
    <row r="3" spans="1:19" ht="17.25" customHeight="1">
      <c r="B3" s="208"/>
      <c r="C3" s="208"/>
      <c r="E3" s="370">
        <v>2012</v>
      </c>
      <c r="F3" s="371"/>
      <c r="G3" s="371"/>
      <c r="H3" s="371"/>
      <c r="I3" s="371"/>
      <c r="J3" s="371"/>
      <c r="K3" s="371"/>
      <c r="L3" s="371"/>
      <c r="M3" s="371"/>
      <c r="N3" s="371"/>
      <c r="O3" s="371"/>
      <c r="P3" s="372"/>
      <c r="Q3" s="93" t="s">
        <v>0</v>
      </c>
      <c r="R3" s="208"/>
      <c r="S3" s="209"/>
    </row>
    <row r="4" spans="1:19" ht="27" customHeight="1">
      <c r="A4" s="249" t="s">
        <v>215</v>
      </c>
      <c r="B4" s="210" t="s">
        <v>178</v>
      </c>
      <c r="C4" s="210" t="s">
        <v>179</v>
      </c>
      <c r="D4" s="232" t="s">
        <v>177</v>
      </c>
      <c r="E4" s="211">
        <v>1</v>
      </c>
      <c r="F4" s="211">
        <v>2</v>
      </c>
      <c r="G4" s="211">
        <v>3</v>
      </c>
      <c r="H4" s="211">
        <v>4</v>
      </c>
      <c r="I4" s="211">
        <v>5</v>
      </c>
      <c r="J4" s="211">
        <v>6</v>
      </c>
      <c r="K4" s="211">
        <v>7</v>
      </c>
      <c r="L4" s="211">
        <v>8</v>
      </c>
      <c r="M4" s="211">
        <v>9</v>
      </c>
      <c r="N4" s="211">
        <v>10</v>
      </c>
      <c r="O4" s="211">
        <v>11</v>
      </c>
      <c r="P4" s="211">
        <v>12</v>
      </c>
      <c r="Q4" s="95">
        <v>2012</v>
      </c>
    </row>
    <row r="5" spans="1:19" s="62" customFormat="1">
      <c r="A5" s="212" t="s">
        <v>213</v>
      </c>
      <c r="B5" s="213"/>
      <c r="C5" s="213"/>
      <c r="D5" s="148">
        <f t="shared" ref="D5:Q5" si="0">SUM(D6:D7)</f>
        <v>14016.344000000001</v>
      </c>
      <c r="E5" s="148">
        <f t="shared" si="0"/>
        <v>5606.5376000000006</v>
      </c>
      <c r="F5" s="148">
        <f t="shared" si="0"/>
        <v>8409.8063999999995</v>
      </c>
      <c r="G5" s="148">
        <f t="shared" si="0"/>
        <v>0</v>
      </c>
      <c r="H5" s="148">
        <f t="shared" si="0"/>
        <v>0</v>
      </c>
      <c r="I5" s="148">
        <f t="shared" si="0"/>
        <v>0</v>
      </c>
      <c r="J5" s="148">
        <f t="shared" si="0"/>
        <v>0</v>
      </c>
      <c r="K5" s="148">
        <f t="shared" si="0"/>
        <v>0</v>
      </c>
      <c r="L5" s="148">
        <f t="shared" si="0"/>
        <v>0</v>
      </c>
      <c r="M5" s="148">
        <f t="shared" si="0"/>
        <v>0</v>
      </c>
      <c r="N5" s="148">
        <f t="shared" si="0"/>
        <v>0</v>
      </c>
      <c r="O5" s="148">
        <f t="shared" si="0"/>
        <v>0</v>
      </c>
      <c r="P5" s="148">
        <f t="shared" si="0"/>
        <v>0</v>
      </c>
      <c r="Q5" s="148">
        <f t="shared" si="0"/>
        <v>14016.344000000001</v>
      </c>
      <c r="S5" s="78"/>
    </row>
    <row r="6" spans="1:19" ht="25.5" outlineLevel="1">
      <c r="A6" s="252" t="s">
        <v>356</v>
      </c>
      <c r="B6" s="297">
        <f>Производство!B92</f>
        <v>764.41666666666674</v>
      </c>
      <c r="C6" s="149">
        <f>3820*Исх!$C$6/1000</f>
        <v>18.335999999999999</v>
      </c>
      <c r="D6" s="157">
        <f>B6*C6</f>
        <v>14016.344000000001</v>
      </c>
      <c r="E6" s="157">
        <f>$D6*0.4</f>
        <v>5606.5376000000006</v>
      </c>
      <c r="F6" s="157">
        <f>$D6*0.6</f>
        <v>8409.8063999999995</v>
      </c>
      <c r="G6" s="157"/>
      <c r="H6" s="157"/>
      <c r="I6" s="157"/>
      <c r="J6" s="157"/>
      <c r="K6" s="157"/>
      <c r="L6" s="157"/>
      <c r="M6" s="157"/>
      <c r="N6" s="157"/>
      <c r="O6" s="157"/>
      <c r="P6" s="157"/>
      <c r="Q6" s="158">
        <f>SUM(E6:P6)</f>
        <v>14016.344000000001</v>
      </c>
      <c r="R6" s="78" t="s">
        <v>357</v>
      </c>
    </row>
    <row r="7" spans="1:19" hidden="1" outlineLevel="1">
      <c r="A7" s="214"/>
      <c r="B7" s="86"/>
      <c r="C7" s="149"/>
      <c r="D7" s="157">
        <f>B7*C7</f>
        <v>0</v>
      </c>
      <c r="E7" s="157">
        <f>$D7*0.4</f>
        <v>0</v>
      </c>
      <c r="F7" s="157">
        <f>$D7*0.6</f>
        <v>0</v>
      </c>
      <c r="G7" s="157"/>
      <c r="H7" s="157"/>
      <c r="I7" s="157"/>
      <c r="J7" s="157"/>
      <c r="K7" s="157"/>
      <c r="L7" s="157"/>
      <c r="M7" s="157"/>
      <c r="N7" s="157"/>
      <c r="O7" s="157"/>
      <c r="P7" s="157"/>
      <c r="Q7" s="158">
        <f>SUM(E7:P7)</f>
        <v>0</v>
      </c>
    </row>
    <row r="8" spans="1:19" collapsed="1">
      <c r="A8" s="212" t="s">
        <v>118</v>
      </c>
      <c r="B8" s="213"/>
      <c r="C8" s="213"/>
      <c r="D8" s="148">
        <f t="shared" ref="D8:Q8" si="1">SUM(D9:D11)</f>
        <v>10987.964800000002</v>
      </c>
      <c r="E8" s="148">
        <f t="shared" si="1"/>
        <v>0</v>
      </c>
      <c r="F8" s="148">
        <f t="shared" si="1"/>
        <v>4395.1859200000017</v>
      </c>
      <c r="G8" s="148">
        <f t="shared" si="1"/>
        <v>6592.7788800000008</v>
      </c>
      <c r="H8" s="148">
        <f t="shared" si="1"/>
        <v>0</v>
      </c>
      <c r="I8" s="148">
        <f t="shared" si="1"/>
        <v>0</v>
      </c>
      <c r="J8" s="148">
        <f t="shared" si="1"/>
        <v>0</v>
      </c>
      <c r="K8" s="148">
        <f t="shared" si="1"/>
        <v>0</v>
      </c>
      <c r="L8" s="148">
        <f t="shared" si="1"/>
        <v>0</v>
      </c>
      <c r="M8" s="148">
        <f t="shared" si="1"/>
        <v>0</v>
      </c>
      <c r="N8" s="148">
        <f t="shared" si="1"/>
        <v>0</v>
      </c>
      <c r="O8" s="148">
        <f t="shared" si="1"/>
        <v>0</v>
      </c>
      <c r="P8" s="148">
        <f t="shared" si="1"/>
        <v>0</v>
      </c>
      <c r="Q8" s="148">
        <f t="shared" si="1"/>
        <v>10987.964800000002</v>
      </c>
    </row>
    <row r="9" spans="1:19" ht="25.5" outlineLevel="1">
      <c r="A9" s="252" t="s">
        <v>309</v>
      </c>
      <c r="B9" s="149">
        <v>1</v>
      </c>
      <c r="C9" s="149">
        <f>114.163*2*Исх!$C$6</f>
        <v>1095.9648</v>
      </c>
      <c r="D9" s="157">
        <f t="shared" ref="D9:D11" si="2">B9*C9</f>
        <v>1095.9648</v>
      </c>
      <c r="E9" s="157"/>
      <c r="F9" s="157">
        <f t="shared" ref="F9:F11" si="3">$D9*0.4</f>
        <v>438.38592</v>
      </c>
      <c r="G9" s="157">
        <f t="shared" ref="G9:G11" si="4">$D9*0.6</f>
        <v>657.57887999999991</v>
      </c>
      <c r="H9" s="157"/>
      <c r="I9" s="157"/>
      <c r="J9" s="157"/>
      <c r="K9" s="157"/>
      <c r="L9" s="157"/>
      <c r="M9" s="157"/>
      <c r="N9" s="157"/>
      <c r="O9" s="157"/>
      <c r="P9" s="157"/>
      <c r="Q9" s="158">
        <f t="shared" ref="Q9:Q11" si="5">SUM(E9:P9)</f>
        <v>1095.9648</v>
      </c>
    </row>
    <row r="10" spans="1:19" outlineLevel="1">
      <c r="A10" s="252" t="s">
        <v>362</v>
      </c>
      <c r="B10" s="149">
        <v>1</v>
      </c>
      <c r="C10" s="149">
        <f>1250*Исх!$C$6*Исх!$C$18*1.1</f>
        <v>7392.0000000000018</v>
      </c>
      <c r="D10" s="157">
        <f t="shared" si="2"/>
        <v>7392.0000000000018</v>
      </c>
      <c r="E10" s="157"/>
      <c r="F10" s="157">
        <f t="shared" si="3"/>
        <v>2956.8000000000011</v>
      </c>
      <c r="G10" s="157">
        <f t="shared" si="4"/>
        <v>4435.2000000000007</v>
      </c>
      <c r="H10" s="157"/>
      <c r="I10" s="157"/>
      <c r="J10" s="157"/>
      <c r="K10" s="157"/>
      <c r="L10" s="157"/>
      <c r="M10" s="157"/>
      <c r="N10" s="157"/>
      <c r="O10" s="157"/>
      <c r="P10" s="157"/>
      <c r="Q10" s="158">
        <f t="shared" si="5"/>
        <v>7392.0000000000018</v>
      </c>
    </row>
    <row r="11" spans="1:19" outlineLevel="1">
      <c r="A11" s="215" t="s">
        <v>368</v>
      </c>
      <c r="B11" s="149">
        <v>1</v>
      </c>
      <c r="C11" s="149">
        <v>2500</v>
      </c>
      <c r="D11" s="157">
        <f t="shared" si="2"/>
        <v>2500</v>
      </c>
      <c r="E11" s="157"/>
      <c r="F11" s="157">
        <f t="shared" si="3"/>
        <v>1000</v>
      </c>
      <c r="G11" s="157">
        <f t="shared" si="4"/>
        <v>1500</v>
      </c>
      <c r="H11" s="157"/>
      <c r="I11" s="157"/>
      <c r="J11" s="157"/>
      <c r="K11" s="157"/>
      <c r="L11" s="157"/>
      <c r="M11" s="157"/>
      <c r="N11" s="157"/>
      <c r="O11" s="157"/>
      <c r="P11" s="157"/>
      <c r="Q11" s="158">
        <f t="shared" si="5"/>
        <v>2500</v>
      </c>
    </row>
    <row r="12" spans="1:19">
      <c r="A12" s="212" t="s">
        <v>222</v>
      </c>
      <c r="B12" s="213"/>
      <c r="C12" s="213"/>
      <c r="D12" s="148">
        <f t="shared" ref="D12:Q12" si="6">SUM(D13:D14)</f>
        <v>20984.639999999999</v>
      </c>
      <c r="E12" s="148">
        <f t="shared" si="6"/>
        <v>0</v>
      </c>
      <c r="F12" s="148">
        <f t="shared" si="6"/>
        <v>0</v>
      </c>
      <c r="G12" s="148">
        <f t="shared" si="6"/>
        <v>20984.639999999999</v>
      </c>
      <c r="H12" s="148">
        <f t="shared" si="6"/>
        <v>0</v>
      </c>
      <c r="I12" s="148">
        <f t="shared" si="6"/>
        <v>0</v>
      </c>
      <c r="J12" s="148">
        <f t="shared" si="6"/>
        <v>0</v>
      </c>
      <c r="K12" s="148">
        <f t="shared" si="6"/>
        <v>0</v>
      </c>
      <c r="L12" s="148">
        <f t="shared" si="6"/>
        <v>0</v>
      </c>
      <c r="M12" s="148">
        <f t="shared" si="6"/>
        <v>0</v>
      </c>
      <c r="N12" s="148">
        <f t="shared" si="6"/>
        <v>0</v>
      </c>
      <c r="O12" s="148">
        <f t="shared" si="6"/>
        <v>0</v>
      </c>
      <c r="P12" s="148">
        <f t="shared" si="6"/>
        <v>0</v>
      </c>
      <c r="Q12" s="148">
        <f t="shared" si="6"/>
        <v>20984.639999999999</v>
      </c>
    </row>
    <row r="13" spans="1:19" outlineLevel="1">
      <c r="A13" s="252" t="s">
        <v>310</v>
      </c>
      <c r="B13" s="149">
        <v>1</v>
      </c>
      <c r="C13" s="149">
        <f>2900*Исх!C6</f>
        <v>13920</v>
      </c>
      <c r="D13" s="157">
        <f>B13*C13</f>
        <v>13920</v>
      </c>
      <c r="E13" s="157"/>
      <c r="F13" s="157"/>
      <c r="G13" s="157">
        <f>D13</f>
        <v>13920</v>
      </c>
      <c r="H13" s="157"/>
      <c r="I13" s="157"/>
      <c r="J13" s="157"/>
      <c r="K13" s="157"/>
      <c r="L13" s="157"/>
      <c r="M13" s="157"/>
      <c r="N13" s="157"/>
      <c r="O13" s="157"/>
      <c r="P13" s="157"/>
      <c r="Q13" s="158">
        <f>SUM(E13:P13)</f>
        <v>13920</v>
      </c>
    </row>
    <row r="14" spans="1:19" outlineLevel="1">
      <c r="A14" s="215" t="s">
        <v>370</v>
      </c>
      <c r="B14" s="149">
        <v>2</v>
      </c>
      <c r="C14" s="149">
        <f>669*Исх!$C$6*1.1</f>
        <v>3532.32</v>
      </c>
      <c r="D14" s="157">
        <f>B14*C14</f>
        <v>7064.64</v>
      </c>
      <c r="E14" s="157"/>
      <c r="F14" s="157"/>
      <c r="G14" s="157">
        <f>D14</f>
        <v>7064.64</v>
      </c>
      <c r="H14" s="157"/>
      <c r="I14" s="157"/>
      <c r="J14" s="157"/>
      <c r="K14" s="157"/>
      <c r="L14" s="157"/>
      <c r="M14" s="157"/>
      <c r="N14" s="157"/>
      <c r="O14" s="157"/>
      <c r="P14" s="157"/>
      <c r="Q14" s="158">
        <f>SUM(E14:P14)</f>
        <v>7064.64</v>
      </c>
      <c r="R14" s="78" t="s">
        <v>371</v>
      </c>
    </row>
    <row r="15" spans="1:19">
      <c r="A15" s="212" t="s">
        <v>311</v>
      </c>
      <c r="B15" s="213"/>
      <c r="C15" s="213"/>
      <c r="D15" s="148">
        <f>SUM(D16:D18)</f>
        <v>36800</v>
      </c>
      <c r="E15" s="148">
        <f t="shared" ref="E15:P15" si="7">SUM(E16:E18)</f>
        <v>0</v>
      </c>
      <c r="F15" s="148">
        <f t="shared" si="7"/>
        <v>0</v>
      </c>
      <c r="G15" s="148">
        <f t="shared" si="7"/>
        <v>36800</v>
      </c>
      <c r="H15" s="148">
        <f t="shared" si="7"/>
        <v>0</v>
      </c>
      <c r="I15" s="148">
        <f t="shared" si="7"/>
        <v>0</v>
      </c>
      <c r="J15" s="148">
        <f t="shared" si="7"/>
        <v>0</v>
      </c>
      <c r="K15" s="148">
        <f t="shared" si="7"/>
        <v>0</v>
      </c>
      <c r="L15" s="148">
        <f t="shared" si="7"/>
        <v>0</v>
      </c>
      <c r="M15" s="148">
        <f t="shared" si="7"/>
        <v>0</v>
      </c>
      <c r="N15" s="148">
        <f t="shared" si="7"/>
        <v>0</v>
      </c>
      <c r="O15" s="148">
        <f t="shared" si="7"/>
        <v>0</v>
      </c>
      <c r="P15" s="148">
        <f t="shared" si="7"/>
        <v>0</v>
      </c>
      <c r="Q15" s="148">
        <f>SUM(Q16:Q18)</f>
        <v>36800</v>
      </c>
    </row>
    <row r="16" spans="1:19" outlineLevel="1">
      <c r="A16" s="252" t="s">
        <v>312</v>
      </c>
      <c r="B16" s="150">
        <f>Исх!C27</f>
        <v>50</v>
      </c>
      <c r="C16" s="149">
        <v>700</v>
      </c>
      <c r="D16" s="157">
        <f>B16*C16</f>
        <v>35000</v>
      </c>
      <c r="E16" s="157"/>
      <c r="F16" s="157"/>
      <c r="G16" s="157">
        <f>D16</f>
        <v>35000</v>
      </c>
      <c r="H16" s="157"/>
      <c r="I16" s="157"/>
      <c r="J16" s="157"/>
      <c r="K16" s="157"/>
      <c r="L16" s="157"/>
      <c r="M16" s="157"/>
      <c r="N16" s="157"/>
      <c r="O16" s="157"/>
      <c r="P16" s="157"/>
      <c r="Q16" s="158">
        <f>SUM(E16:P16)</f>
        <v>35000</v>
      </c>
    </row>
    <row r="17" spans="1:17" outlineLevel="1">
      <c r="A17" s="252" t="s">
        <v>313</v>
      </c>
      <c r="B17" s="150">
        <f>Исх!C28</f>
        <v>2</v>
      </c>
      <c r="C17" s="149">
        <v>900</v>
      </c>
      <c r="D17" s="157">
        <f>B17*C17</f>
        <v>1800</v>
      </c>
      <c r="E17" s="157"/>
      <c r="F17" s="157"/>
      <c r="G17" s="157">
        <f>D17</f>
        <v>1800</v>
      </c>
      <c r="H17" s="157"/>
      <c r="I17" s="157"/>
      <c r="J17" s="157"/>
      <c r="K17" s="157"/>
      <c r="L17" s="157"/>
      <c r="M17" s="157"/>
      <c r="N17" s="157"/>
      <c r="O17" s="157"/>
      <c r="P17" s="157"/>
      <c r="Q17" s="158">
        <f>SUM(E17:P17)</f>
        <v>1800</v>
      </c>
    </row>
    <row r="18" spans="1:17" outlineLevel="1">
      <c r="A18" s="215"/>
      <c r="B18" s="149"/>
      <c r="C18" s="149"/>
      <c r="D18" s="157">
        <f>B18*C18</f>
        <v>0</v>
      </c>
      <c r="E18" s="157"/>
      <c r="F18" s="157"/>
      <c r="G18" s="157"/>
      <c r="H18" s="157"/>
      <c r="I18" s="157"/>
      <c r="J18" s="157"/>
      <c r="K18" s="157"/>
      <c r="L18" s="157"/>
      <c r="M18" s="157"/>
      <c r="N18" s="157"/>
      <c r="O18" s="157"/>
      <c r="P18" s="157"/>
      <c r="Q18" s="158">
        <f>SUM(E18:P18)</f>
        <v>0</v>
      </c>
    </row>
    <row r="19" spans="1:17">
      <c r="A19" s="145" t="s">
        <v>0</v>
      </c>
      <c r="B19" s="171"/>
      <c r="C19" s="171"/>
      <c r="D19" s="171">
        <f t="shared" ref="D19:Q19" si="8">D5+D8+D12+D15</f>
        <v>82788.948799999998</v>
      </c>
      <c r="E19" s="171">
        <f t="shared" si="8"/>
        <v>5606.5376000000006</v>
      </c>
      <c r="F19" s="171">
        <f t="shared" si="8"/>
        <v>12804.992320000001</v>
      </c>
      <c r="G19" s="171">
        <f t="shared" si="8"/>
        <v>64377.418879999997</v>
      </c>
      <c r="H19" s="171">
        <f t="shared" si="8"/>
        <v>0</v>
      </c>
      <c r="I19" s="171">
        <f t="shared" si="8"/>
        <v>0</v>
      </c>
      <c r="J19" s="171">
        <f t="shared" si="8"/>
        <v>0</v>
      </c>
      <c r="K19" s="171">
        <f t="shared" si="8"/>
        <v>0</v>
      </c>
      <c r="L19" s="171">
        <f t="shared" si="8"/>
        <v>0</v>
      </c>
      <c r="M19" s="171">
        <f t="shared" si="8"/>
        <v>0</v>
      </c>
      <c r="N19" s="171">
        <f t="shared" si="8"/>
        <v>0</v>
      </c>
      <c r="O19" s="171">
        <f t="shared" si="8"/>
        <v>0</v>
      </c>
      <c r="P19" s="171">
        <f t="shared" si="8"/>
        <v>0</v>
      </c>
      <c r="Q19" s="171">
        <f t="shared" si="8"/>
        <v>82788.948799999998</v>
      </c>
    </row>
    <row r="20" spans="1:17">
      <c r="D20" s="208">
        <f>D19-Q19</f>
        <v>0</v>
      </c>
    </row>
    <row r="21" spans="1:17">
      <c r="B21" s="151" t="s">
        <v>65</v>
      </c>
      <c r="C21" s="208" t="s">
        <v>47</v>
      </c>
      <c r="D21" s="216" t="s">
        <v>106</v>
      </c>
    </row>
    <row r="22" spans="1:17">
      <c r="A22" s="78" t="s">
        <v>124</v>
      </c>
      <c r="B22" s="208">
        <f>Q5</f>
        <v>14016.344000000001</v>
      </c>
      <c r="C22" s="208">
        <f>B22/Исх!$C$18</f>
        <v>12514.592857142858</v>
      </c>
      <c r="D22" s="172">
        <f>B22/Исх!$C$5</f>
        <v>94.705027027027029</v>
      </c>
      <c r="L22" s="177"/>
    </row>
    <row r="23" spans="1:17">
      <c r="A23" s="78" t="s">
        <v>118</v>
      </c>
      <c r="B23" s="208">
        <f>Q8</f>
        <v>10987.964800000002</v>
      </c>
      <c r="C23" s="208">
        <f>B23/Исх!$C$18</f>
        <v>9810.6828571428578</v>
      </c>
      <c r="D23" s="172">
        <f>B23/Исх!$C$5</f>
        <v>74.243005405405412</v>
      </c>
      <c r="L23" s="177"/>
    </row>
    <row r="24" spans="1:17">
      <c r="A24" s="78" t="s">
        <v>222</v>
      </c>
      <c r="B24" s="208">
        <f>Q12</f>
        <v>20984.639999999999</v>
      </c>
      <c r="C24" s="208">
        <f>B24/Исх!$C$18</f>
        <v>18736.285714285714</v>
      </c>
      <c r="D24" s="172">
        <f>B24/Исх!$C$5</f>
        <v>141.7881081081081</v>
      </c>
      <c r="L24" s="177"/>
    </row>
    <row r="25" spans="1:17">
      <c r="A25" s="78" t="s">
        <v>222</v>
      </c>
      <c r="B25" s="208">
        <f>Q15</f>
        <v>36800</v>
      </c>
      <c r="C25" s="208">
        <f>B25/Исх!$C$18</f>
        <v>32857.142857142855</v>
      </c>
      <c r="D25" s="172">
        <f>B25/Исх!$C$5</f>
        <v>248.64864864864865</v>
      </c>
      <c r="L25" s="177"/>
    </row>
    <row r="26" spans="1:17">
      <c r="A26" s="62" t="s">
        <v>96</v>
      </c>
      <c r="B26" s="217">
        <f>SUM(B22:B25)</f>
        <v>82788.948799999998</v>
      </c>
      <c r="C26" s="217">
        <f>SUM(C22:C25)</f>
        <v>73918.704285714281</v>
      </c>
      <c r="D26" s="217">
        <f>SUM(D22:D25)</f>
        <v>559.38478918918918</v>
      </c>
    </row>
    <row r="28" spans="1:17">
      <c r="A28" s="78" t="s">
        <v>243</v>
      </c>
    </row>
    <row r="29" spans="1:17">
      <c r="A29" s="78" t="s">
        <v>244</v>
      </c>
    </row>
  </sheetData>
  <mergeCells count="1">
    <mergeCell ref="E3:P3"/>
  </mergeCells>
  <phoneticPr fontId="3" type="noConversion"/>
  <pageMargins left="0.48" right="0.23622047244094491" top="0.69" bottom="0.27559055118110237" header="0.52" footer="0.19685039370078741"/>
  <pageSetup paperSize="9" scale="96" orientation="landscape" r:id="rId1"/>
  <headerFooter alignWithMargins="0"/>
  <picture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H13"/>
  <sheetViews>
    <sheetView showGridLines="0" workbookViewId="0">
      <pane ySplit="3" topLeftCell="A4" activePane="bottomLeft" state="frozen"/>
      <selection activeCell="A34" sqref="A34"/>
      <selection pane="bottomLeft" activeCell="J14" sqref="J14"/>
    </sheetView>
  </sheetViews>
  <sheetFormatPr defaultRowHeight="12.75"/>
  <cols>
    <col min="1" max="1" width="38.5703125" style="78" customWidth="1"/>
    <col min="2" max="2" width="10" style="78" hidden="1" customWidth="1"/>
    <col min="3" max="16384" width="9.140625" style="78"/>
  </cols>
  <sheetData>
    <row r="1" spans="1:8">
      <c r="A1" s="62" t="s">
        <v>81</v>
      </c>
      <c r="B1" s="62"/>
      <c r="C1" s="62"/>
      <c r="D1" s="62"/>
      <c r="E1" s="62"/>
      <c r="F1" s="62"/>
    </row>
    <row r="2" spans="1:8">
      <c r="A2" s="218"/>
      <c r="B2" s="218"/>
      <c r="C2" s="218"/>
      <c r="D2" s="218"/>
      <c r="E2" s="218"/>
      <c r="F2" s="218"/>
      <c r="H2" s="151" t="s">
        <v>65</v>
      </c>
    </row>
    <row r="3" spans="1:8">
      <c r="A3" s="227" t="s">
        <v>10</v>
      </c>
      <c r="B3" s="250">
        <v>2012</v>
      </c>
      <c r="C3" s="250">
        <f t="shared" ref="C3:H3" si="0">B3+1</f>
        <v>2013</v>
      </c>
      <c r="D3" s="250">
        <f t="shared" si="0"/>
        <v>2014</v>
      </c>
      <c r="E3" s="250">
        <f t="shared" si="0"/>
        <v>2015</v>
      </c>
      <c r="F3" s="250">
        <f t="shared" si="0"/>
        <v>2016</v>
      </c>
      <c r="G3" s="250">
        <f t="shared" si="0"/>
        <v>2017</v>
      </c>
      <c r="H3" s="250">
        <f t="shared" si="0"/>
        <v>2018</v>
      </c>
    </row>
    <row r="4" spans="1:8">
      <c r="A4" s="219" t="s">
        <v>127</v>
      </c>
      <c r="B4" s="220">
        <f>'2-ф2'!P5</f>
        <v>7666.981992277988</v>
      </c>
      <c r="C4" s="220">
        <f>'2-ф2'!AC5</f>
        <v>19779.56251737451</v>
      </c>
      <c r="D4" s="220">
        <f>'2-ф2'!AD5</f>
        <v>33108.762414414407</v>
      </c>
      <c r="E4" s="220">
        <f>'2-ф2'!AE5</f>
        <v>29314.832487773485</v>
      </c>
      <c r="F4" s="220">
        <f>'2-ф2'!AF5</f>
        <v>25508.665643140277</v>
      </c>
      <c r="G4" s="220">
        <f>'2-ф2'!AG5</f>
        <v>31462.951511081075</v>
      </c>
      <c r="H4" s="220">
        <f>'2-ф2'!AH5</f>
        <v>36733.116338061773</v>
      </c>
    </row>
    <row r="5" spans="1:8">
      <c r="A5" s="219" t="s">
        <v>97</v>
      </c>
      <c r="B5" s="221">
        <f t="shared" ref="B5:H5" si="1">B4-B6</f>
        <v>-10645.017204261711</v>
      </c>
      <c r="C5" s="221">
        <f t="shared" si="1"/>
        <v>-4939.9794040560955</v>
      </c>
      <c r="D5" s="221">
        <f t="shared" si="1"/>
        <v>9230.2243984010129</v>
      </c>
      <c r="E5" s="221">
        <f t="shared" si="1"/>
        <v>6041.929826961059</v>
      </c>
      <c r="F5" s="221">
        <f t="shared" si="1"/>
        <v>2382.0732895205838</v>
      </c>
      <c r="G5" s="221">
        <f t="shared" si="1"/>
        <v>8638.8007490105301</v>
      </c>
      <c r="H5" s="221">
        <f t="shared" si="1"/>
        <v>14713.229539338667</v>
      </c>
    </row>
    <row r="6" spans="1:8">
      <c r="A6" s="219" t="s">
        <v>132</v>
      </c>
      <c r="B6" s="222">
        <f t="shared" ref="B6:H6" si="2">SUM(B7:B8)</f>
        <v>18311.999196539698</v>
      </c>
      <c r="C6" s="222">
        <f t="shared" si="2"/>
        <v>24719.541921430606</v>
      </c>
      <c r="D6" s="222">
        <f t="shared" si="2"/>
        <v>23878.538016013394</v>
      </c>
      <c r="E6" s="222">
        <f t="shared" si="2"/>
        <v>23272.902660812426</v>
      </c>
      <c r="F6" s="222">
        <f t="shared" si="2"/>
        <v>23126.592353619693</v>
      </c>
      <c r="G6" s="222">
        <f t="shared" si="2"/>
        <v>22824.150762070545</v>
      </c>
      <c r="H6" s="222">
        <f t="shared" si="2"/>
        <v>22019.886798723106</v>
      </c>
    </row>
    <row r="7" spans="1:8">
      <c r="A7" s="219" t="s">
        <v>98</v>
      </c>
      <c r="B7" s="220">
        <f>'2-ф2'!P15+'2-ф2'!P14+'2-ф2'!P13</f>
        <v>12926.511951673627</v>
      </c>
      <c r="C7" s="220">
        <f>'2-ф2'!AC15+'2-ф2'!AC14+'2-ф2'!AC13</f>
        <v>16996.729116152863</v>
      </c>
      <c r="D7" s="220">
        <f>'2-ф2'!AD15+'2-ф2'!AD14+'2-ф2'!AD13</f>
        <v>16175.805327234031</v>
      </c>
      <c r="E7" s="220">
        <f>'2-ф2'!AE15+'2-ф2'!AE14+'2-ф2'!AE13</f>
        <v>15357.521538315199</v>
      </c>
      <c r="F7" s="220">
        <f>'2-ф2'!AF15+'2-ф2'!AF14+'2-ф2'!AF13</f>
        <v>14542.141749396375</v>
      </c>
      <c r="G7" s="220">
        <f>'2-ф2'!AG15+'2-ф2'!AG14+'2-ф2'!AG13</f>
        <v>13729.956360477547</v>
      </c>
      <c r="H7" s="220">
        <f>'2-ф2'!AH15+'2-ф2'!AH14+'2-ф2'!AH13</f>
        <v>12921.284811558715</v>
      </c>
    </row>
    <row r="8" spans="1:8">
      <c r="A8" s="219" t="s">
        <v>99</v>
      </c>
      <c r="B8" s="220">
        <f>'2-ф2'!P9</f>
        <v>5385.4872448660699</v>
      </c>
      <c r="C8" s="220">
        <f>'2-ф2'!AC9</f>
        <v>7722.8128052777429</v>
      </c>
      <c r="D8" s="220">
        <f>'2-ф2'!AD9</f>
        <v>7702.7326887793624</v>
      </c>
      <c r="E8" s="220">
        <f>'2-ф2'!AE9</f>
        <v>7915.3811224972278</v>
      </c>
      <c r="F8" s="220">
        <f>'2-ф2'!AF9</f>
        <v>8584.4506042233188</v>
      </c>
      <c r="G8" s="220">
        <f>'2-ф2'!AG9</f>
        <v>9094.1944015929985</v>
      </c>
      <c r="H8" s="220">
        <f>'2-ф2'!AH9</f>
        <v>9098.601987164393</v>
      </c>
    </row>
    <row r="9" spans="1:8">
      <c r="A9" s="219" t="s">
        <v>100</v>
      </c>
      <c r="B9" s="222">
        <f t="shared" ref="B9:H9" si="3">B4-B8</f>
        <v>2281.4947474119181</v>
      </c>
      <c r="C9" s="222">
        <f t="shared" si="3"/>
        <v>12056.749712096767</v>
      </c>
      <c r="D9" s="222">
        <f t="shared" si="3"/>
        <v>25406.029725635046</v>
      </c>
      <c r="E9" s="222">
        <f t="shared" si="3"/>
        <v>21399.451365276258</v>
      </c>
      <c r="F9" s="222">
        <f t="shared" si="3"/>
        <v>16924.215038916958</v>
      </c>
      <c r="G9" s="222">
        <f t="shared" si="3"/>
        <v>22368.757109488077</v>
      </c>
      <c r="H9" s="222">
        <f t="shared" si="3"/>
        <v>27634.514350897378</v>
      </c>
    </row>
    <row r="10" spans="1:8">
      <c r="A10" s="219" t="s">
        <v>82</v>
      </c>
      <c r="B10" s="223">
        <f t="shared" ref="B10:H10" si="4">B9/B4</f>
        <v>0.29757403235194607</v>
      </c>
      <c r="C10" s="223">
        <f t="shared" si="4"/>
        <v>0.6095559343896525</v>
      </c>
      <c r="D10" s="223">
        <f t="shared" si="4"/>
        <v>0.76735063085819666</v>
      </c>
      <c r="E10" s="223">
        <f t="shared" si="4"/>
        <v>0.72998716176193257</v>
      </c>
      <c r="F10" s="223">
        <f t="shared" si="4"/>
        <v>0.66346924122501771</v>
      </c>
      <c r="G10" s="223">
        <f t="shared" si="4"/>
        <v>0.7109554582509503</v>
      </c>
      <c r="H10" s="223">
        <f t="shared" si="4"/>
        <v>0.75230519775593629</v>
      </c>
    </row>
    <row r="11" spans="1:8">
      <c r="A11" s="219" t="s">
        <v>101</v>
      </c>
      <c r="B11" s="222">
        <f t="shared" ref="B11:H11" si="5">B7/B10</f>
        <v>43439.650461116893</v>
      </c>
      <c r="C11" s="222">
        <f t="shared" si="5"/>
        <v>27883.789095042877</v>
      </c>
      <c r="D11" s="222">
        <f t="shared" si="5"/>
        <v>21080.070409459604</v>
      </c>
      <c r="E11" s="222">
        <f t="shared" si="5"/>
        <v>21038.070726131042</v>
      </c>
      <c r="F11" s="222">
        <f t="shared" si="5"/>
        <v>21918.335991802764</v>
      </c>
      <c r="G11" s="222">
        <f t="shared" si="5"/>
        <v>19311.978269714895</v>
      </c>
      <c r="H11" s="222">
        <f t="shared" si="5"/>
        <v>17175.588910061808</v>
      </c>
    </row>
    <row r="12" spans="1:8" ht="25.5">
      <c r="A12" s="224" t="s">
        <v>83</v>
      </c>
      <c r="B12" s="225">
        <f t="shared" ref="B12:H12" si="6">(B4-B11)/B4</f>
        <v>-4.6658083330400846</v>
      </c>
      <c r="C12" s="225">
        <f t="shared" si="6"/>
        <v>-0.40972729151868531</v>
      </c>
      <c r="D12" s="225">
        <f t="shared" si="6"/>
        <v>0.36330841528881574</v>
      </c>
      <c r="E12" s="225">
        <f t="shared" si="6"/>
        <v>0.2823404078837729</v>
      </c>
      <c r="F12" s="225">
        <f t="shared" si="6"/>
        <v>0.14074941047741615</v>
      </c>
      <c r="G12" s="225">
        <f t="shared" si="6"/>
        <v>0.386199407804658</v>
      </c>
      <c r="H12" s="225">
        <f t="shared" si="6"/>
        <v>0.53242222217163293</v>
      </c>
    </row>
    <row r="13" spans="1:8">
      <c r="A13" s="219" t="s">
        <v>116</v>
      </c>
      <c r="B13" s="226">
        <f t="shared" ref="B13:H13" si="7">100%-B12</f>
        <v>5.6658083330400846</v>
      </c>
      <c r="C13" s="226">
        <f t="shared" si="7"/>
        <v>1.4097272915186854</v>
      </c>
      <c r="D13" s="226">
        <f t="shared" si="7"/>
        <v>0.63669158471118426</v>
      </c>
      <c r="E13" s="226">
        <f t="shared" si="7"/>
        <v>0.7176595921162271</v>
      </c>
      <c r="F13" s="226">
        <f t="shared" si="7"/>
        <v>0.85925058952258382</v>
      </c>
      <c r="G13" s="226">
        <f t="shared" si="7"/>
        <v>0.613800592195342</v>
      </c>
      <c r="H13" s="226">
        <f t="shared" si="7"/>
        <v>0.46757777782836707</v>
      </c>
    </row>
  </sheetData>
  <phoneticPr fontId="3" type="noConversion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  <picture r:id="rId2"/>
</worksheet>
</file>

<file path=xl/worksheets/sheet13.xml><?xml version="1.0" encoding="utf-8"?>
<worksheet xmlns="http://schemas.openxmlformats.org/spreadsheetml/2006/main" xmlns:r="http://schemas.openxmlformats.org/officeDocument/2006/relationships">
  <sheetPr enableFormatConditionsCalculation="0">
    <tabColor rgb="FFFF0000"/>
  </sheetPr>
  <dimension ref="A1:H60"/>
  <sheetViews>
    <sheetView showGridLines="0" zoomScaleNormal="100" workbookViewId="0">
      <pane ySplit="2" topLeftCell="A3" activePane="bottomLeft" state="frozen"/>
      <selection activeCell="A34" sqref="A34"/>
      <selection pane="bottomLeft" activeCell="L11" sqref="L11"/>
    </sheetView>
  </sheetViews>
  <sheetFormatPr defaultRowHeight="12.75"/>
  <cols>
    <col min="1" max="1" width="53.7109375" style="72" customWidth="1"/>
    <col min="2" max="2" width="16.85546875" style="73" customWidth="1"/>
    <col min="3" max="3" width="12.7109375" style="71" customWidth="1"/>
    <col min="4" max="4" width="11" style="71" customWidth="1"/>
    <col min="5" max="16384" width="9.140625" style="71"/>
  </cols>
  <sheetData>
    <row r="1" spans="1:7" ht="13.9" customHeight="1"/>
    <row r="2" spans="1:7" ht="14.1" customHeight="1">
      <c r="A2" s="237" t="s">
        <v>373</v>
      </c>
      <c r="B2" s="343">
        <v>2012</v>
      </c>
    </row>
    <row r="3" spans="1:7" ht="14.1" customHeight="1">
      <c r="A3" s="233" t="s">
        <v>191</v>
      </c>
      <c r="B3" s="234">
        <f>'1-Ф3'!B23</f>
        <v>82788.948799999998</v>
      </c>
    </row>
    <row r="4" spans="1:7" ht="14.1" customHeight="1">
      <c r="A4" s="233" t="s">
        <v>190</v>
      </c>
      <c r="B4" s="234">
        <f>'1-Ф3'!B29-'1-Ф3'!B23</f>
        <v>21496.209286087585</v>
      </c>
    </row>
    <row r="5" spans="1:7" ht="14.1" customHeight="1">
      <c r="A5" s="235" t="s">
        <v>96</v>
      </c>
      <c r="B5" s="236">
        <f>SUM(B3:B4)</f>
        <v>104285.15808608758</v>
      </c>
    </row>
    <row r="6" spans="1:7" ht="13.5" customHeight="1">
      <c r="A6" s="74"/>
      <c r="B6" s="75"/>
    </row>
    <row r="7" spans="1:7" ht="13.5" customHeight="1">
      <c r="A7" s="237" t="s">
        <v>374</v>
      </c>
      <c r="B7" s="343" t="s">
        <v>177</v>
      </c>
      <c r="C7" s="343" t="s">
        <v>10</v>
      </c>
      <c r="D7" s="343" t="s">
        <v>192</v>
      </c>
    </row>
    <row r="8" spans="1:7" ht="13.5" customHeight="1">
      <c r="A8" s="233" t="s">
        <v>382</v>
      </c>
      <c r="B8" s="234">
        <f>'1-Ф3'!B30</f>
        <v>31285.547425826277</v>
      </c>
      <c r="C8" s="240" t="s">
        <v>320</v>
      </c>
      <c r="D8" s="238">
        <f>B8/$B$10</f>
        <v>0.3</v>
      </c>
      <c r="F8" s="241" t="s">
        <v>202</v>
      </c>
      <c r="G8" s="241"/>
    </row>
    <row r="9" spans="1:7" ht="13.5" customHeight="1">
      <c r="A9" s="233" t="s">
        <v>117</v>
      </c>
      <c r="B9" s="234">
        <f>'1-Ф3'!B31</f>
        <v>72999.610660261314</v>
      </c>
      <c r="C9" s="240" t="s">
        <v>320</v>
      </c>
      <c r="D9" s="238">
        <f>B9/$B$10</f>
        <v>0.70000000000000007</v>
      </c>
      <c r="F9" s="241" t="s">
        <v>202</v>
      </c>
      <c r="G9" s="241"/>
    </row>
    <row r="10" spans="1:7">
      <c r="A10" s="235" t="s">
        <v>96</v>
      </c>
      <c r="B10" s="236">
        <f>SUM(B8:B9)</f>
        <v>104285.15808608758</v>
      </c>
      <c r="C10" s="236"/>
      <c r="D10" s="239">
        <f>SUM(D8:D9)</f>
        <v>1</v>
      </c>
    </row>
    <row r="11" spans="1:7">
      <c r="A11" s="77"/>
      <c r="B11" s="76"/>
    </row>
    <row r="12" spans="1:7">
      <c r="A12" s="233" t="s">
        <v>193</v>
      </c>
      <c r="B12" s="234" t="s">
        <v>194</v>
      </c>
      <c r="F12" s="241"/>
      <c r="G12" s="241"/>
    </row>
    <row r="13" spans="1:7">
      <c r="A13" s="233" t="s">
        <v>195</v>
      </c>
      <c r="B13" s="238">
        <f>Исх!C31</f>
        <v>7.0000000000000007E-2</v>
      </c>
    </row>
    <row r="14" spans="1:7">
      <c r="A14" s="233" t="s">
        <v>226</v>
      </c>
      <c r="B14" s="242">
        <f>Исх!C32</f>
        <v>7</v>
      </c>
    </row>
    <row r="15" spans="1:7">
      <c r="A15" s="233" t="s">
        <v>196</v>
      </c>
      <c r="B15" s="234" t="s">
        <v>197</v>
      </c>
      <c r="F15" s="241"/>
      <c r="G15" s="241"/>
    </row>
    <row r="16" spans="1:7">
      <c r="A16" s="233" t="s">
        <v>200</v>
      </c>
      <c r="B16" s="234">
        <f>Исх!C33</f>
        <v>9</v>
      </c>
    </row>
    <row r="17" spans="1:8">
      <c r="A17" s="233" t="s">
        <v>201</v>
      </c>
      <c r="B17" s="234">
        <f>Исх!C34</f>
        <v>9</v>
      </c>
    </row>
    <row r="18" spans="1:8">
      <c r="A18" s="233" t="s">
        <v>198</v>
      </c>
      <c r="B18" s="234" t="s">
        <v>199</v>
      </c>
      <c r="F18" s="241"/>
      <c r="G18" s="241"/>
    </row>
    <row r="20" spans="1:8">
      <c r="A20" s="233" t="s">
        <v>239</v>
      </c>
      <c r="B20" s="234">
        <f>'2-ф2'!AH18</f>
        <v>13830.435766978342</v>
      </c>
      <c r="F20" s="71" t="s">
        <v>240</v>
      </c>
    </row>
    <row r="21" spans="1:8">
      <c r="A21" s="233" t="s">
        <v>203</v>
      </c>
      <c r="B21" s="238">
        <f>('3-Баланс'!AH26-'3-Баланс'!AG26)/'3-Баланс'!AH16</f>
        <v>0.26765793778297503</v>
      </c>
    </row>
    <row r="22" spans="1:8">
      <c r="A22" s="71"/>
      <c r="B22" s="71"/>
    </row>
    <row r="23" spans="1:8">
      <c r="A23" s="233" t="s">
        <v>386</v>
      </c>
      <c r="B23" s="248">
        <f>'3-Баланс'!AH11/'3-Баланс'!AH5</f>
        <v>0.81871576650333244</v>
      </c>
      <c r="F23" s="71" t="s">
        <v>240</v>
      </c>
    </row>
    <row r="24" spans="1:8">
      <c r="A24" s="233" t="s">
        <v>214</v>
      </c>
      <c r="B24" s="248">
        <f>'3-Баланс'!AF24/'3-Баланс'!AF21</f>
        <v>1.4410042659946851</v>
      </c>
      <c r="F24" s="71" t="s">
        <v>241</v>
      </c>
    </row>
    <row r="26" spans="1:8">
      <c r="A26" s="233" t="s">
        <v>204</v>
      </c>
      <c r="B26" s="238">
        <f>'1-Ф3'!AT50</f>
        <v>0.13332079266365782</v>
      </c>
      <c r="F26" s="71" t="s">
        <v>387</v>
      </c>
    </row>
    <row r="27" spans="1:8">
      <c r="A27" s="233" t="s">
        <v>205</v>
      </c>
      <c r="B27" s="234">
        <f>'1-Ф3'!AT48</f>
        <v>14568.155619563186</v>
      </c>
    </row>
    <row r="28" spans="1:8">
      <c r="A28" s="233" t="s">
        <v>206</v>
      </c>
      <c r="B28" s="242">
        <f>'1-Ф3'!B51</f>
        <v>6.8633824433920827</v>
      </c>
    </row>
    <row r="29" spans="1:8">
      <c r="A29" s="233" t="s">
        <v>207</v>
      </c>
      <c r="B29" s="242">
        <f>'1-Ф3'!B52</f>
        <v>9.6342368469261555</v>
      </c>
    </row>
    <row r="31" spans="1:8">
      <c r="A31" s="243" t="s">
        <v>227</v>
      </c>
    </row>
    <row r="32" spans="1:8">
      <c r="A32" s="237" t="s">
        <v>322</v>
      </c>
      <c r="B32" s="343">
        <v>2012</v>
      </c>
      <c r="C32" s="343">
        <v>2013</v>
      </c>
      <c r="D32" s="343">
        <v>2014</v>
      </c>
      <c r="E32" s="343">
        <v>2015</v>
      </c>
      <c r="F32" s="343">
        <v>2016</v>
      </c>
      <c r="G32" s="343">
        <v>2017</v>
      </c>
      <c r="H32" s="343">
        <v>2018</v>
      </c>
    </row>
    <row r="33" spans="1:8">
      <c r="A33" s="233" t="s">
        <v>358</v>
      </c>
      <c r="B33" s="234">
        <f>Производство!E65</f>
        <v>52</v>
      </c>
      <c r="C33" s="234">
        <f>Производство!F65</f>
        <v>52</v>
      </c>
      <c r="D33" s="234">
        <f>Производство!G65</f>
        <v>49.916666666666671</v>
      </c>
      <c r="E33" s="234">
        <f>Производство!H65</f>
        <v>50.791666666666671</v>
      </c>
      <c r="F33" s="234">
        <f>Производство!I65</f>
        <v>54.958333333333343</v>
      </c>
      <c r="G33" s="234">
        <f>Производство!J65</f>
        <v>57.716666666666683</v>
      </c>
      <c r="H33" s="234">
        <f>Производство!K65</f>
        <v>57.198958333333358</v>
      </c>
    </row>
    <row r="34" spans="1:8">
      <c r="A34" s="233" t="s">
        <v>359</v>
      </c>
      <c r="B34" s="234">
        <f>Производство!E66</f>
        <v>45</v>
      </c>
      <c r="C34" s="234">
        <f>Производство!F66</f>
        <v>56.25</v>
      </c>
      <c r="D34" s="234">
        <f>Производство!G66</f>
        <v>60</v>
      </c>
      <c r="E34" s="234">
        <f>Производство!H66</f>
        <v>62.662499999999994</v>
      </c>
      <c r="F34" s="234">
        <f>Производство!I66</f>
        <v>68.212500000000006</v>
      </c>
      <c r="G34" s="234">
        <f>Производство!J66</f>
        <v>73.273125000000007</v>
      </c>
      <c r="H34" s="234">
        <f>Производство!K66</f>
        <v>74.400000000000006</v>
      </c>
    </row>
    <row r="35" spans="1:8">
      <c r="A35" s="233" t="s">
        <v>321</v>
      </c>
      <c r="B35" s="234">
        <f>Производство!E76/1000</f>
        <v>0</v>
      </c>
      <c r="C35" s="234">
        <f>Производство!F76/1000</f>
        <v>7.4950559999999999</v>
      </c>
      <c r="D35" s="234">
        <f>Производство!G76/1000</f>
        <v>13.04694933333333</v>
      </c>
      <c r="E35" s="234">
        <f>Производство!H76/1000</f>
        <v>9.0912253333333322</v>
      </c>
      <c r="F35" s="234">
        <f>Производство!I76/1000</f>
        <v>11.497971093333332</v>
      </c>
      <c r="G35" s="234">
        <f>Производство!J76/1000</f>
        <v>13.226691879999999</v>
      </c>
      <c r="H35" s="234">
        <f>Производство!K76/1000</f>
        <v>13.928728791999998</v>
      </c>
    </row>
    <row r="36" spans="1:8">
      <c r="A36" s="233" t="s">
        <v>360</v>
      </c>
      <c r="B36" s="376">
        <f>Исх!C21</f>
        <v>570.4</v>
      </c>
      <c r="C36" s="376"/>
      <c r="D36" s="376"/>
      <c r="E36" s="376"/>
      <c r="F36" s="376"/>
      <c r="G36" s="376"/>
      <c r="H36" s="376"/>
    </row>
    <row r="37" spans="1:8">
      <c r="A37" s="233" t="s">
        <v>361</v>
      </c>
      <c r="B37" s="377">
        <f>Исх!C21*Исх!C22</f>
        <v>333.11359999999996</v>
      </c>
      <c r="C37" s="378"/>
      <c r="D37" s="378"/>
      <c r="E37" s="378"/>
      <c r="F37" s="378"/>
      <c r="G37" s="378"/>
      <c r="H37" s="379"/>
    </row>
    <row r="38" spans="1:8">
      <c r="A38" s="233" t="s">
        <v>383</v>
      </c>
      <c r="B38" s="234">
        <f>Производство!E79</f>
        <v>0</v>
      </c>
      <c r="C38" s="234">
        <f>Производство!F79</f>
        <v>0</v>
      </c>
      <c r="D38" s="234">
        <f>Производство!G79</f>
        <v>10</v>
      </c>
      <c r="E38" s="234">
        <f>Производство!H79</f>
        <v>12</v>
      </c>
      <c r="F38" s="234">
        <f>Производство!I79</f>
        <v>1</v>
      </c>
      <c r="G38" s="234">
        <f>Производство!J79</f>
        <v>7</v>
      </c>
      <c r="H38" s="234">
        <f>Производство!K79</f>
        <v>14</v>
      </c>
    </row>
    <row r="40" spans="1:8">
      <c r="A40" s="243" t="s">
        <v>208</v>
      </c>
    </row>
    <row r="41" spans="1:8">
      <c r="A41" s="373" t="s">
        <v>209</v>
      </c>
      <c r="B41" s="375">
        <v>2011</v>
      </c>
      <c r="C41" s="375"/>
      <c r="D41" s="380">
        <v>2012</v>
      </c>
      <c r="E41" s="381"/>
      <c r="F41" s="382"/>
    </row>
    <row r="42" spans="1:8">
      <c r="A42" s="374"/>
      <c r="B42" s="343">
        <v>11</v>
      </c>
      <c r="C42" s="343">
        <v>12</v>
      </c>
      <c r="D42" s="343">
        <v>1</v>
      </c>
      <c r="E42" s="343">
        <v>2</v>
      </c>
      <c r="F42" s="343">
        <v>3</v>
      </c>
    </row>
    <row r="43" spans="1:8" ht="25.5">
      <c r="A43" s="244" t="s">
        <v>210</v>
      </c>
      <c r="B43" s="245"/>
      <c r="C43" s="245"/>
      <c r="D43" s="238"/>
      <c r="E43" s="238"/>
      <c r="F43" s="238"/>
    </row>
    <row r="44" spans="1:8">
      <c r="A44" s="233" t="s">
        <v>211</v>
      </c>
      <c r="B44" s="234"/>
      <c r="C44" s="246"/>
      <c r="D44" s="238"/>
      <c r="E44" s="234"/>
      <c r="F44" s="234"/>
    </row>
    <row r="45" spans="1:8">
      <c r="A45" s="233" t="s">
        <v>212</v>
      </c>
      <c r="B45" s="234"/>
      <c r="C45" s="246"/>
      <c r="D45" s="238"/>
      <c r="E45" s="234"/>
      <c r="F45" s="234"/>
    </row>
    <row r="46" spans="1:8">
      <c r="A46" s="233" t="s">
        <v>364</v>
      </c>
      <c r="B46" s="234"/>
      <c r="C46" s="234"/>
      <c r="D46" s="246"/>
      <c r="E46" s="246"/>
      <c r="F46" s="234"/>
    </row>
    <row r="47" spans="1:8">
      <c r="A47" s="233" t="s">
        <v>365</v>
      </c>
      <c r="B47" s="234"/>
      <c r="C47" s="234"/>
      <c r="D47" s="234"/>
      <c r="E47" s="246"/>
      <c r="F47" s="234"/>
    </row>
    <row r="48" spans="1:8">
      <c r="A48" s="233" t="s">
        <v>229</v>
      </c>
      <c r="B48" s="234"/>
      <c r="C48" s="234"/>
      <c r="E48" s="246"/>
      <c r="F48" s="234"/>
    </row>
    <row r="49" spans="1:6">
      <c r="A49" s="233" t="s">
        <v>228</v>
      </c>
      <c r="B49" s="234"/>
      <c r="C49" s="234"/>
      <c r="D49" s="234"/>
      <c r="E49" s="246"/>
      <c r="F49" s="246"/>
    </row>
    <row r="50" spans="1:6">
      <c r="A50" s="233" t="s">
        <v>230</v>
      </c>
      <c r="B50" s="234"/>
      <c r="C50" s="234"/>
      <c r="D50" s="234"/>
      <c r="E50" s="234"/>
      <c r="F50" s="246"/>
    </row>
    <row r="51" spans="1:6">
      <c r="A51" s="233" t="s">
        <v>366</v>
      </c>
      <c r="B51" s="234"/>
      <c r="C51" s="234"/>
      <c r="D51" s="234"/>
      <c r="E51" s="234"/>
      <c r="F51" s="246"/>
    </row>
    <row r="53" spans="1:6">
      <c r="A53" s="243" t="s">
        <v>216</v>
      </c>
    </row>
    <row r="55" spans="1:6">
      <c r="A55" s="345" t="s">
        <v>219</v>
      </c>
      <c r="B55" s="346" t="s">
        <v>220</v>
      </c>
    </row>
    <row r="56" spans="1:6">
      <c r="A56" s="233" t="s">
        <v>45</v>
      </c>
      <c r="B56" s="234">
        <f>'1-Ф3'!B19</f>
        <v>2746.9642618584312</v>
      </c>
    </row>
    <row r="57" spans="1:6">
      <c r="A57" s="233" t="s">
        <v>217</v>
      </c>
      <c r="B57" s="234">
        <f>'1-Ф3'!B18</f>
        <v>1525.2756716948429</v>
      </c>
    </row>
    <row r="58" spans="1:6">
      <c r="A58" s="233" t="s">
        <v>242</v>
      </c>
      <c r="B58" s="234">
        <f>SUM(Пост!C20:I20)*12</f>
        <v>547.48698187499997</v>
      </c>
    </row>
    <row r="59" spans="1:6">
      <c r="A59" s="233" t="s">
        <v>218</v>
      </c>
      <c r="B59" s="234">
        <f>(ФОТ!F29+ФОТ!G29+ФОТ!H29+ФОТ!I29)*12*6.75</f>
        <v>16541.5527</v>
      </c>
    </row>
    <row r="60" spans="1:6">
      <c r="A60" s="235" t="s">
        <v>0</v>
      </c>
      <c r="B60" s="236">
        <f>SUM(B56:B59)</f>
        <v>21361.279615428273</v>
      </c>
    </row>
  </sheetData>
  <mergeCells count="5">
    <mergeCell ref="A41:A42"/>
    <mergeCell ref="B41:C41"/>
    <mergeCell ref="B36:H36"/>
    <mergeCell ref="B37:H37"/>
    <mergeCell ref="D41:F41"/>
  </mergeCells>
  <phoneticPr fontId="14" type="noConversion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  <picture r:id="rId2"/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rgb="FFFF0000"/>
    <outlinePr summaryBelow="0"/>
  </sheetPr>
  <dimension ref="A1:FU35"/>
  <sheetViews>
    <sheetView showGridLines="0" showZeros="0" zoomScaleNormal="100" workbookViewId="0">
      <pane xSplit="3" ySplit="4" topLeftCell="P17" activePane="bottomRight" state="frozen"/>
      <selection activeCell="A34" sqref="A34"/>
      <selection pane="topRight" activeCell="A34" sqref="A34"/>
      <selection pane="bottomLeft" activeCell="A34" sqref="A34"/>
      <selection pane="bottomRight" activeCell="AF1" sqref="AF1:AF1048576"/>
    </sheetView>
  </sheetViews>
  <sheetFormatPr defaultColWidth="10.140625" defaultRowHeight="12.75" outlineLevelCol="1"/>
  <cols>
    <col min="1" max="1" width="38.140625" style="88" customWidth="1"/>
    <col min="2" max="2" width="11.42578125" style="88" customWidth="1"/>
    <col min="3" max="3" width="3.85546875" style="88" customWidth="1"/>
    <col min="4" max="4" width="7.140625" style="88" hidden="1" customWidth="1" outlineLevel="1"/>
    <col min="5" max="5" width="8.28515625" style="88" hidden="1" customWidth="1" outlineLevel="1"/>
    <col min="6" max="11" width="7" style="88" hidden="1" customWidth="1" outlineLevel="1"/>
    <col min="12" max="12" width="8.7109375" style="88" hidden="1" customWidth="1" outlineLevel="1"/>
    <col min="13" max="13" width="7.85546875" style="88" hidden="1" customWidth="1" outlineLevel="1"/>
    <col min="14" max="15" width="8.5703125" style="88" hidden="1" customWidth="1" outlineLevel="1"/>
    <col min="16" max="16" width="9.140625" style="88" customWidth="1" collapsed="1"/>
    <col min="17" max="28" width="8.42578125" style="88" hidden="1" customWidth="1" outlineLevel="1"/>
    <col min="29" max="29" width="9.140625" style="88" customWidth="1" collapsed="1"/>
    <col min="30" max="30" width="9.140625" style="88" customWidth="1"/>
    <col min="31" max="34" width="8.85546875" style="88" customWidth="1"/>
    <col min="35" max="16384" width="10.140625" style="88"/>
  </cols>
  <sheetData>
    <row r="1" spans="1:35" ht="21" customHeight="1">
      <c r="A1" s="62" t="s">
        <v>125</v>
      </c>
      <c r="B1" s="87"/>
      <c r="C1" s="87"/>
    </row>
    <row r="2" spans="1:35" ht="17.25" customHeight="1">
      <c r="A2" s="62"/>
      <c r="B2" s="12" t="str">
        <f>Исх!$C$9</f>
        <v>тыс.тг.</v>
      </c>
      <c r="C2" s="89"/>
    </row>
    <row r="3" spans="1:35" ht="12.75" customHeight="1">
      <c r="A3" s="354" t="s">
        <v>3</v>
      </c>
      <c r="B3" s="358" t="s">
        <v>1</v>
      </c>
      <c r="C3" s="93"/>
      <c r="D3" s="353">
        <v>2012</v>
      </c>
      <c r="E3" s="353"/>
      <c r="F3" s="353"/>
      <c r="G3" s="353"/>
      <c r="H3" s="353"/>
      <c r="I3" s="353"/>
      <c r="J3" s="353"/>
      <c r="K3" s="353"/>
      <c r="L3" s="353"/>
      <c r="M3" s="353"/>
      <c r="N3" s="353"/>
      <c r="O3" s="353"/>
      <c r="P3" s="353"/>
      <c r="Q3" s="353">
        <v>2013</v>
      </c>
      <c r="R3" s="353"/>
      <c r="S3" s="353"/>
      <c r="T3" s="353"/>
      <c r="U3" s="353"/>
      <c r="V3" s="353"/>
      <c r="W3" s="353"/>
      <c r="X3" s="353"/>
      <c r="Y3" s="353"/>
      <c r="Z3" s="353"/>
      <c r="AA3" s="353"/>
      <c r="AB3" s="353"/>
      <c r="AC3" s="353"/>
      <c r="AD3" s="94">
        <v>2014</v>
      </c>
      <c r="AE3" s="94">
        <f>AD3+1</f>
        <v>2015</v>
      </c>
      <c r="AF3" s="94">
        <f>AE3+1</f>
        <v>2016</v>
      </c>
      <c r="AG3" s="94">
        <f>AF3+1</f>
        <v>2017</v>
      </c>
      <c r="AH3" s="94">
        <f>AG3+1</f>
        <v>2018</v>
      </c>
    </row>
    <row r="4" spans="1:35">
      <c r="A4" s="355"/>
      <c r="B4" s="358"/>
      <c r="C4" s="95"/>
      <c r="D4" s="96">
        <v>1</v>
      </c>
      <c r="E4" s="96">
        <f t="shared" ref="E4:O4" si="0">D4+1</f>
        <v>2</v>
      </c>
      <c r="F4" s="96">
        <f t="shared" si="0"/>
        <v>3</v>
      </c>
      <c r="G4" s="96">
        <f t="shared" si="0"/>
        <v>4</v>
      </c>
      <c r="H4" s="96">
        <f t="shared" si="0"/>
        <v>5</v>
      </c>
      <c r="I4" s="96">
        <f t="shared" si="0"/>
        <v>6</v>
      </c>
      <c r="J4" s="96">
        <f t="shared" si="0"/>
        <v>7</v>
      </c>
      <c r="K4" s="96">
        <f t="shared" si="0"/>
        <v>8</v>
      </c>
      <c r="L4" s="96">
        <f t="shared" si="0"/>
        <v>9</v>
      </c>
      <c r="M4" s="96">
        <f t="shared" si="0"/>
        <v>10</v>
      </c>
      <c r="N4" s="96">
        <f t="shared" si="0"/>
        <v>11</v>
      </c>
      <c r="O4" s="96">
        <f t="shared" si="0"/>
        <v>12</v>
      </c>
      <c r="P4" s="92" t="s">
        <v>0</v>
      </c>
      <c r="Q4" s="96">
        <v>1</v>
      </c>
      <c r="R4" s="96">
        <f t="shared" ref="R4:AB4" si="1">Q4+1</f>
        <v>2</v>
      </c>
      <c r="S4" s="96">
        <f t="shared" si="1"/>
        <v>3</v>
      </c>
      <c r="T4" s="96">
        <f t="shared" si="1"/>
        <v>4</v>
      </c>
      <c r="U4" s="96">
        <f t="shared" si="1"/>
        <v>5</v>
      </c>
      <c r="V4" s="96">
        <f t="shared" si="1"/>
        <v>6</v>
      </c>
      <c r="W4" s="96">
        <f t="shared" si="1"/>
        <v>7</v>
      </c>
      <c r="X4" s="96">
        <f t="shared" si="1"/>
        <v>8</v>
      </c>
      <c r="Y4" s="96">
        <f t="shared" si="1"/>
        <v>9</v>
      </c>
      <c r="Z4" s="96">
        <f t="shared" si="1"/>
        <v>10</v>
      </c>
      <c r="AA4" s="96">
        <f t="shared" si="1"/>
        <v>11</v>
      </c>
      <c r="AB4" s="96">
        <f t="shared" si="1"/>
        <v>12</v>
      </c>
      <c r="AC4" s="92" t="s">
        <v>0</v>
      </c>
      <c r="AD4" s="92" t="s">
        <v>126</v>
      </c>
      <c r="AE4" s="92" t="s">
        <v>126</v>
      </c>
      <c r="AF4" s="92" t="s">
        <v>126</v>
      </c>
      <c r="AG4" s="92" t="s">
        <v>126</v>
      </c>
      <c r="AH4" s="92" t="s">
        <v>126</v>
      </c>
    </row>
    <row r="5" spans="1:35" s="89" customFormat="1" ht="15" customHeight="1">
      <c r="A5" s="97" t="s">
        <v>107</v>
      </c>
      <c r="B5" s="98">
        <f>P5+AC5+AD5+AE5+AF5+AG5+AH5</f>
        <v>183574.87290412353</v>
      </c>
      <c r="C5" s="99"/>
      <c r="D5" s="99">
        <f t="shared" ref="D5:AH5" si="2">SUM(D6:D8)</f>
        <v>0</v>
      </c>
      <c r="E5" s="99">
        <f t="shared" si="2"/>
        <v>0</v>
      </c>
      <c r="F5" s="99">
        <f t="shared" si="2"/>
        <v>0</v>
      </c>
      <c r="G5" s="99">
        <f t="shared" si="2"/>
        <v>851.8868880308878</v>
      </c>
      <c r="H5" s="99">
        <f t="shared" si="2"/>
        <v>851.8868880308878</v>
      </c>
      <c r="I5" s="99">
        <f t="shared" si="2"/>
        <v>851.8868880308878</v>
      </c>
      <c r="J5" s="99">
        <f t="shared" si="2"/>
        <v>851.8868880308878</v>
      </c>
      <c r="K5" s="99">
        <f t="shared" si="2"/>
        <v>851.8868880308878</v>
      </c>
      <c r="L5" s="99">
        <f t="shared" si="2"/>
        <v>851.8868880308878</v>
      </c>
      <c r="M5" s="99">
        <f t="shared" si="2"/>
        <v>851.8868880308878</v>
      </c>
      <c r="N5" s="99">
        <f t="shared" si="2"/>
        <v>851.8868880308878</v>
      </c>
      <c r="O5" s="99">
        <f t="shared" si="2"/>
        <v>851.8868880308878</v>
      </c>
      <c r="P5" s="99">
        <f t="shared" si="2"/>
        <v>7666.981992277988</v>
      </c>
      <c r="Q5" s="99">
        <f t="shared" si="2"/>
        <v>1648.296876447876</v>
      </c>
      <c r="R5" s="99">
        <f t="shared" si="2"/>
        <v>1648.296876447876</v>
      </c>
      <c r="S5" s="99">
        <f t="shared" si="2"/>
        <v>1648.296876447876</v>
      </c>
      <c r="T5" s="99">
        <f t="shared" si="2"/>
        <v>1648.296876447876</v>
      </c>
      <c r="U5" s="99">
        <f t="shared" si="2"/>
        <v>1648.296876447876</v>
      </c>
      <c r="V5" s="99">
        <f t="shared" si="2"/>
        <v>1648.296876447876</v>
      </c>
      <c r="W5" s="99">
        <f t="shared" si="2"/>
        <v>1648.296876447876</v>
      </c>
      <c r="X5" s="99">
        <f t="shared" si="2"/>
        <v>1648.296876447876</v>
      </c>
      <c r="Y5" s="99">
        <f t="shared" si="2"/>
        <v>1648.296876447876</v>
      </c>
      <c r="Z5" s="99">
        <f t="shared" si="2"/>
        <v>1648.296876447876</v>
      </c>
      <c r="AA5" s="99">
        <f t="shared" si="2"/>
        <v>1648.296876447876</v>
      </c>
      <c r="AB5" s="99">
        <f t="shared" si="2"/>
        <v>1648.296876447876</v>
      </c>
      <c r="AC5" s="99">
        <f t="shared" si="2"/>
        <v>19779.56251737451</v>
      </c>
      <c r="AD5" s="99">
        <f t="shared" si="2"/>
        <v>33108.762414414407</v>
      </c>
      <c r="AE5" s="99">
        <f t="shared" si="2"/>
        <v>29314.832487773485</v>
      </c>
      <c r="AF5" s="99">
        <f t="shared" si="2"/>
        <v>25508.665643140277</v>
      </c>
      <c r="AG5" s="99">
        <f t="shared" si="2"/>
        <v>31462.951511081075</v>
      </c>
      <c r="AH5" s="99">
        <f t="shared" si="2"/>
        <v>36733.116338061773</v>
      </c>
      <c r="AI5" s="100"/>
    </row>
    <row r="6" spans="1:35" s="89" customFormat="1">
      <c r="A6" s="101" t="s">
        <v>303</v>
      </c>
      <c r="B6" s="98">
        <f>P6+AC6+AD6+AE6+AF6+AG6+AH6</f>
        <v>87072.034973621616</v>
      </c>
      <c r="C6" s="99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99">
        <f>SUM(D6:O6)</f>
        <v>0</v>
      </c>
      <c r="Q6" s="102">
        <f>Дох!$D$5/12</f>
        <v>796.40998841698831</v>
      </c>
      <c r="R6" s="102">
        <f>Дох!$D$5/12</f>
        <v>796.40998841698831</v>
      </c>
      <c r="S6" s="102">
        <f>Дох!$D$5/12</f>
        <v>796.40998841698831</v>
      </c>
      <c r="T6" s="102">
        <f>Дох!$D$5/12</f>
        <v>796.40998841698831</v>
      </c>
      <c r="U6" s="102">
        <f>Дох!$D$5/12</f>
        <v>796.40998841698831</v>
      </c>
      <c r="V6" s="102">
        <f>Дох!$D$5/12</f>
        <v>796.40998841698831</v>
      </c>
      <c r="W6" s="102">
        <f>Дох!$D$5/12</f>
        <v>796.40998841698831</v>
      </c>
      <c r="X6" s="102">
        <f>Дох!$D$5/12</f>
        <v>796.40998841698831</v>
      </c>
      <c r="Y6" s="102">
        <f>Дох!$D$5/12</f>
        <v>796.40998841698831</v>
      </c>
      <c r="Z6" s="102">
        <f>Дох!$D$5/12</f>
        <v>796.40998841698831</v>
      </c>
      <c r="AA6" s="102">
        <f>Дох!$D$5/12</f>
        <v>796.40998841698831</v>
      </c>
      <c r="AB6" s="102">
        <f>Дох!$D$5/12</f>
        <v>796.40998841698831</v>
      </c>
      <c r="AC6" s="99">
        <f>SUM(Q6:AB6)</f>
        <v>9556.9198610038602</v>
      </c>
      <c r="AD6" s="102">
        <f>Дох!E5</f>
        <v>16636.119758043755</v>
      </c>
      <c r="AE6" s="102">
        <f>Дох!F5</f>
        <v>11592.189831402829</v>
      </c>
      <c r="AF6" s="102">
        <f>Дох!G5</f>
        <v>14661.022986769623</v>
      </c>
      <c r="AG6" s="102">
        <f>Дох!H5</f>
        <v>16865.308854710423</v>
      </c>
      <c r="AH6" s="102">
        <f>Дох!I5</f>
        <v>17760.473681691117</v>
      </c>
      <c r="AI6" s="100"/>
    </row>
    <row r="7" spans="1:35" s="89" customFormat="1">
      <c r="A7" s="101" t="s">
        <v>377</v>
      </c>
      <c r="B7" s="98">
        <f>P7+AC7+AD7+AE7+AF7+AG7+AH7</f>
        <v>27500</v>
      </c>
      <c r="C7" s="99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99">
        <f>SUM(D7:O7)</f>
        <v>0</v>
      </c>
      <c r="Q7" s="102">
        <f>Дох!$D$6/12</f>
        <v>0</v>
      </c>
      <c r="R7" s="102">
        <f>Дох!$D$6/12</f>
        <v>0</v>
      </c>
      <c r="S7" s="102">
        <f>Дох!$D$6/12</f>
        <v>0</v>
      </c>
      <c r="T7" s="102">
        <f>Дох!$D$6/12</f>
        <v>0</v>
      </c>
      <c r="U7" s="102">
        <f>Дох!$D$6/12</f>
        <v>0</v>
      </c>
      <c r="V7" s="102">
        <f>Дох!$D$6/12</f>
        <v>0</v>
      </c>
      <c r="W7" s="102">
        <f>Дох!$D$6/12</f>
        <v>0</v>
      </c>
      <c r="X7" s="102">
        <f>Дох!$D$6/12</f>
        <v>0</v>
      </c>
      <c r="Y7" s="102">
        <f>Дох!$D$6/12</f>
        <v>0</v>
      </c>
      <c r="Z7" s="102">
        <f>Дох!$D$6/12</f>
        <v>0</v>
      </c>
      <c r="AA7" s="102">
        <f>Дох!$D$6/12</f>
        <v>0</v>
      </c>
      <c r="AB7" s="102">
        <f>Дох!$D$6/12</f>
        <v>0</v>
      </c>
      <c r="AC7" s="99">
        <f>SUM(Q7:AB7)</f>
        <v>0</v>
      </c>
      <c r="AD7" s="102">
        <f>Дох!E6</f>
        <v>6249.9999999999991</v>
      </c>
      <c r="AE7" s="102">
        <f>Дох!F6</f>
        <v>7499.9999999999991</v>
      </c>
      <c r="AF7" s="102">
        <f>Дох!G6</f>
        <v>624.99999999999989</v>
      </c>
      <c r="AG7" s="102">
        <f>Дох!H6</f>
        <v>4375</v>
      </c>
      <c r="AH7" s="102">
        <f>Дох!I6</f>
        <v>8750</v>
      </c>
      <c r="AI7" s="100"/>
    </row>
    <row r="8" spans="1:35" s="89" customFormat="1">
      <c r="A8" s="101" t="s">
        <v>341</v>
      </c>
      <c r="B8" s="98">
        <f>P8+AC8+AD8+AE8+AF8+AG8+AH8</f>
        <v>69002.837930501904</v>
      </c>
      <c r="C8" s="99"/>
      <c r="D8" s="102"/>
      <c r="E8" s="102"/>
      <c r="F8" s="102"/>
      <c r="G8" s="102">
        <f>Дох!$C$7/9</f>
        <v>851.8868880308878</v>
      </c>
      <c r="H8" s="102">
        <f>Дох!$C$7/9</f>
        <v>851.8868880308878</v>
      </c>
      <c r="I8" s="102">
        <f>Дох!$C$7/9</f>
        <v>851.8868880308878</v>
      </c>
      <c r="J8" s="102">
        <f>Дох!$C$7/9</f>
        <v>851.8868880308878</v>
      </c>
      <c r="K8" s="102">
        <f>Дох!$C$7/9</f>
        <v>851.8868880308878</v>
      </c>
      <c r="L8" s="102">
        <f>Дох!$C$7/9</f>
        <v>851.8868880308878</v>
      </c>
      <c r="M8" s="102">
        <f>Дох!$C$7/9</f>
        <v>851.8868880308878</v>
      </c>
      <c r="N8" s="102">
        <f>Дох!$C$7/9</f>
        <v>851.8868880308878</v>
      </c>
      <c r="O8" s="102">
        <f>Дох!$C$7/9</f>
        <v>851.8868880308878</v>
      </c>
      <c r="P8" s="99">
        <f>SUM(D8:O8)</f>
        <v>7666.981992277988</v>
      </c>
      <c r="Q8" s="102">
        <f>Дох!$D$7/12</f>
        <v>851.8868880308878</v>
      </c>
      <c r="R8" s="102">
        <f>Дох!$D$7/12</f>
        <v>851.8868880308878</v>
      </c>
      <c r="S8" s="102">
        <f>Дох!$D$7/12</f>
        <v>851.8868880308878</v>
      </c>
      <c r="T8" s="102">
        <f>Дох!$D$7/12</f>
        <v>851.8868880308878</v>
      </c>
      <c r="U8" s="102">
        <f>Дох!$D$7/12</f>
        <v>851.8868880308878</v>
      </c>
      <c r="V8" s="102">
        <f>Дох!$D$7/12</f>
        <v>851.8868880308878</v>
      </c>
      <c r="W8" s="102">
        <f>Дох!$D$7/12</f>
        <v>851.8868880308878</v>
      </c>
      <c r="X8" s="102">
        <f>Дох!$D$7/12</f>
        <v>851.8868880308878</v>
      </c>
      <c r="Y8" s="102">
        <f>Дох!$D$7/12</f>
        <v>851.8868880308878</v>
      </c>
      <c r="Z8" s="102">
        <f>Дох!$D$7/12</f>
        <v>851.8868880308878</v>
      </c>
      <c r="AA8" s="102">
        <f>Дох!$D$7/12</f>
        <v>851.8868880308878</v>
      </c>
      <c r="AB8" s="102">
        <f>Дох!$D$7/12</f>
        <v>851.8868880308878</v>
      </c>
      <c r="AC8" s="99">
        <f>SUM(Q8:AB8)</f>
        <v>10222.64265637065</v>
      </c>
      <c r="AD8" s="102">
        <f>Дох!E7</f>
        <v>10222.642656370654</v>
      </c>
      <c r="AE8" s="102">
        <f>Дох!F7</f>
        <v>10222.642656370654</v>
      </c>
      <c r="AF8" s="102">
        <f>Дох!G7</f>
        <v>10222.642656370654</v>
      </c>
      <c r="AG8" s="102">
        <f>Дох!H7</f>
        <v>10222.642656370654</v>
      </c>
      <c r="AH8" s="102">
        <f>Дох!I7</f>
        <v>10222.642656370654</v>
      </c>
      <c r="AI8" s="100"/>
    </row>
    <row r="9" spans="1:35" ht="15" customHeight="1">
      <c r="A9" s="97" t="s">
        <v>108</v>
      </c>
      <c r="B9" s="98">
        <f t="shared" ref="B9:B18" si="3">P9+AC9+AD9+AE9+AF9+AG9+AH9</f>
        <v>55503.660854401118</v>
      </c>
      <c r="C9" s="99"/>
      <c r="D9" s="99">
        <f t="shared" ref="D9:AH9" si="4">SUM(D10:D11)</f>
        <v>0</v>
      </c>
      <c r="E9" s="99">
        <f t="shared" si="4"/>
        <v>0</v>
      </c>
      <c r="F9" s="99">
        <f t="shared" si="4"/>
        <v>0</v>
      </c>
      <c r="G9" s="99">
        <f t="shared" si="4"/>
        <v>598.38747165178563</v>
      </c>
      <c r="H9" s="99">
        <f t="shared" si="4"/>
        <v>598.38747165178563</v>
      </c>
      <c r="I9" s="99">
        <f t="shared" si="4"/>
        <v>598.38747165178563</v>
      </c>
      <c r="J9" s="99">
        <f t="shared" si="4"/>
        <v>598.38747165178563</v>
      </c>
      <c r="K9" s="99">
        <f t="shared" si="4"/>
        <v>598.38747165178563</v>
      </c>
      <c r="L9" s="99">
        <f t="shared" si="4"/>
        <v>598.38747165178563</v>
      </c>
      <c r="M9" s="99">
        <f t="shared" si="4"/>
        <v>598.38747165178563</v>
      </c>
      <c r="N9" s="99">
        <f t="shared" si="4"/>
        <v>598.38747165178563</v>
      </c>
      <c r="O9" s="99">
        <f t="shared" si="4"/>
        <v>598.38747165178563</v>
      </c>
      <c r="P9" s="99">
        <f t="shared" si="4"/>
        <v>5385.4872448660699</v>
      </c>
      <c r="Q9" s="99">
        <f t="shared" si="4"/>
        <v>643.56773377314528</v>
      </c>
      <c r="R9" s="99">
        <f t="shared" si="4"/>
        <v>643.56773377314528</v>
      </c>
      <c r="S9" s="99">
        <f t="shared" si="4"/>
        <v>643.56773377314528</v>
      </c>
      <c r="T9" s="99">
        <f t="shared" si="4"/>
        <v>643.56773377314528</v>
      </c>
      <c r="U9" s="99">
        <f t="shared" si="4"/>
        <v>643.56773377314528</v>
      </c>
      <c r="V9" s="99">
        <f t="shared" si="4"/>
        <v>643.56773377314528</v>
      </c>
      <c r="W9" s="99">
        <f t="shared" si="4"/>
        <v>643.56773377314528</v>
      </c>
      <c r="X9" s="99">
        <f t="shared" si="4"/>
        <v>643.56773377314528</v>
      </c>
      <c r="Y9" s="99">
        <f t="shared" si="4"/>
        <v>643.56773377314528</v>
      </c>
      <c r="Z9" s="99">
        <f t="shared" si="4"/>
        <v>643.56773377314528</v>
      </c>
      <c r="AA9" s="99">
        <f t="shared" si="4"/>
        <v>643.56773377314528</v>
      </c>
      <c r="AB9" s="99">
        <f t="shared" si="4"/>
        <v>643.56773377314528</v>
      </c>
      <c r="AC9" s="99">
        <f t="shared" si="4"/>
        <v>7722.8128052777429</v>
      </c>
      <c r="AD9" s="99">
        <f t="shared" si="4"/>
        <v>7702.7326887793624</v>
      </c>
      <c r="AE9" s="99">
        <f t="shared" si="4"/>
        <v>7915.3811224972278</v>
      </c>
      <c r="AF9" s="99">
        <f t="shared" si="4"/>
        <v>8584.4506042233188</v>
      </c>
      <c r="AG9" s="99">
        <f t="shared" si="4"/>
        <v>9094.1944015929985</v>
      </c>
      <c r="AH9" s="99">
        <f t="shared" si="4"/>
        <v>9098.601987164393</v>
      </c>
    </row>
    <row r="10" spans="1:35">
      <c r="A10" s="101" t="s">
        <v>314</v>
      </c>
      <c r="B10" s="98">
        <f t="shared" si="3"/>
        <v>18001.062939951447</v>
      </c>
      <c r="C10" s="99"/>
      <c r="D10" s="102"/>
      <c r="E10" s="102"/>
      <c r="F10" s="102"/>
      <c r="G10" s="102">
        <f>'Расх перем'!$E$19/12</f>
        <v>194.07027165178565</v>
      </c>
      <c r="H10" s="102">
        <f>'Расх перем'!$E$19/12</f>
        <v>194.07027165178565</v>
      </c>
      <c r="I10" s="102">
        <f>'Расх перем'!$E$19/12</f>
        <v>194.07027165178565</v>
      </c>
      <c r="J10" s="102">
        <f>'Расх перем'!$E$19/12</f>
        <v>194.07027165178565</v>
      </c>
      <c r="K10" s="102">
        <f>'Расх перем'!$E$19/12</f>
        <v>194.07027165178565</v>
      </c>
      <c r="L10" s="102">
        <f>'Расх перем'!$E$19/12</f>
        <v>194.07027165178565</v>
      </c>
      <c r="M10" s="102">
        <f>'Расх перем'!$E$19/12</f>
        <v>194.07027165178565</v>
      </c>
      <c r="N10" s="102">
        <f>'Расх перем'!$E$19/12</f>
        <v>194.07027165178565</v>
      </c>
      <c r="O10" s="102">
        <f>'Расх перем'!$E$19/12</f>
        <v>194.07027165178565</v>
      </c>
      <c r="P10" s="99">
        <f>SUM(D10:O10)</f>
        <v>1746.6324448660705</v>
      </c>
      <c r="Q10" s="102">
        <f>'Расх перем'!$F$19/12</f>
        <v>208.72322840401782</v>
      </c>
      <c r="R10" s="102">
        <f>'Расх перем'!$F$19/12</f>
        <v>208.72322840401782</v>
      </c>
      <c r="S10" s="102">
        <f>'Расх перем'!$F$19/12</f>
        <v>208.72322840401782</v>
      </c>
      <c r="T10" s="102">
        <f>'Расх перем'!$F$19/12</f>
        <v>208.72322840401782</v>
      </c>
      <c r="U10" s="102">
        <f>'Расх перем'!$F$19/12</f>
        <v>208.72322840401782</v>
      </c>
      <c r="V10" s="102">
        <f>'Расх перем'!$F$19/12</f>
        <v>208.72322840401782</v>
      </c>
      <c r="W10" s="102">
        <f>'Расх перем'!$F$19/12</f>
        <v>208.72322840401782</v>
      </c>
      <c r="X10" s="102">
        <f>'Расх перем'!$F$19/12</f>
        <v>208.72322840401782</v>
      </c>
      <c r="Y10" s="102">
        <f>'Расх перем'!$F$19/12</f>
        <v>208.72322840401782</v>
      </c>
      <c r="Z10" s="102">
        <f>'Расх перем'!$F$19/12</f>
        <v>208.72322840401782</v>
      </c>
      <c r="AA10" s="102">
        <f>'Расх перем'!$F$19/12</f>
        <v>208.72322840401782</v>
      </c>
      <c r="AB10" s="102">
        <f>'Расх перем'!$F$19/12</f>
        <v>208.72322840401782</v>
      </c>
      <c r="AC10" s="99">
        <f>SUM(Q10:AB10)</f>
        <v>2504.6787408482137</v>
      </c>
      <c r="AD10" s="102">
        <f>'Расх перем'!G19</f>
        <v>2498.1663156249997</v>
      </c>
      <c r="AE10" s="102">
        <f>'Расх перем'!H19</f>
        <v>2567.1328987388388</v>
      </c>
      <c r="AF10" s="102">
        <f>'Расх перем'!I19</f>
        <v>2784.126907176339</v>
      </c>
      <c r="AG10" s="102">
        <f>'Расх перем'!J19</f>
        <v>2949.4480776802457</v>
      </c>
      <c r="AH10" s="102">
        <f>'Расх перем'!K19</f>
        <v>2950.8775550167416</v>
      </c>
    </row>
    <row r="11" spans="1:35">
      <c r="A11" s="101" t="s">
        <v>323</v>
      </c>
      <c r="B11" s="98">
        <f t="shared" si="3"/>
        <v>37502.597914449667</v>
      </c>
      <c r="C11" s="99"/>
      <c r="D11" s="102"/>
      <c r="E11" s="102"/>
      <c r="F11" s="102"/>
      <c r="G11" s="102">
        <f>'Расх перем'!$E$29</f>
        <v>404.31719999999996</v>
      </c>
      <c r="H11" s="102">
        <f>'Расх перем'!$E$29</f>
        <v>404.31719999999996</v>
      </c>
      <c r="I11" s="102">
        <f>'Расх перем'!$E$29</f>
        <v>404.31719999999996</v>
      </c>
      <c r="J11" s="102">
        <f>'Расх перем'!$E$29</f>
        <v>404.31719999999996</v>
      </c>
      <c r="K11" s="102">
        <f>'Расх перем'!$E$29</f>
        <v>404.31719999999996</v>
      </c>
      <c r="L11" s="102">
        <f>'Расх перем'!$E$29</f>
        <v>404.31719999999996</v>
      </c>
      <c r="M11" s="102">
        <f>'Расх перем'!$E$29</f>
        <v>404.31719999999996</v>
      </c>
      <c r="N11" s="102">
        <f>'Расх перем'!$E$29</f>
        <v>404.31719999999996</v>
      </c>
      <c r="O11" s="102">
        <f>'Расх перем'!$E$29</f>
        <v>404.31719999999996</v>
      </c>
      <c r="P11" s="99">
        <f>SUM(D11:O11)</f>
        <v>3638.8547999999996</v>
      </c>
      <c r="Q11" s="102">
        <f>'Расх перем'!$F$29</f>
        <v>434.84450536912749</v>
      </c>
      <c r="R11" s="102">
        <f>'Расх перем'!$F$29</f>
        <v>434.84450536912749</v>
      </c>
      <c r="S11" s="102">
        <f>'Расх перем'!$F$29</f>
        <v>434.84450536912749</v>
      </c>
      <c r="T11" s="102">
        <f>'Расх перем'!$F$29</f>
        <v>434.84450536912749</v>
      </c>
      <c r="U11" s="102">
        <f>'Расх перем'!$F$29</f>
        <v>434.84450536912749</v>
      </c>
      <c r="V11" s="102">
        <f>'Расх перем'!$F$29</f>
        <v>434.84450536912749</v>
      </c>
      <c r="W11" s="102">
        <f>'Расх перем'!$F$29</f>
        <v>434.84450536912749</v>
      </c>
      <c r="X11" s="102">
        <f>'Расх перем'!$F$29</f>
        <v>434.84450536912749</v>
      </c>
      <c r="Y11" s="102">
        <f>'Расх перем'!$F$29</f>
        <v>434.84450536912749</v>
      </c>
      <c r="Z11" s="102">
        <f>'Расх перем'!$F$29</f>
        <v>434.84450536912749</v>
      </c>
      <c r="AA11" s="102">
        <f>'Расх перем'!$F$29</f>
        <v>434.84450536912749</v>
      </c>
      <c r="AB11" s="102">
        <f>'Расх перем'!$F$29</f>
        <v>434.84450536912749</v>
      </c>
      <c r="AC11" s="99">
        <f>SUM(Q11:AB11)</f>
        <v>5218.1340644295296</v>
      </c>
      <c r="AD11" s="102">
        <f>'Расх перем'!G29*12</f>
        <v>5204.5663731543627</v>
      </c>
      <c r="AE11" s="102">
        <f>'Расх перем'!H29*12</f>
        <v>5348.248223758389</v>
      </c>
      <c r="AF11" s="102">
        <f>'Расх перем'!I29*12</f>
        <v>5800.3236970469798</v>
      </c>
      <c r="AG11" s="102">
        <f>'Расх перем'!J29*12</f>
        <v>6144.7463239127519</v>
      </c>
      <c r="AH11" s="102">
        <f>'Расх перем'!K29*12</f>
        <v>6147.724432147651</v>
      </c>
    </row>
    <row r="12" spans="1:35" s="89" customFormat="1" ht="15" customHeight="1">
      <c r="A12" s="97" t="s">
        <v>18</v>
      </c>
      <c r="B12" s="98">
        <f t="shared" si="3"/>
        <v>128071.21204972238</v>
      </c>
      <c r="C12" s="103"/>
      <c r="D12" s="99">
        <f t="shared" ref="D12:AH12" si="5">D5-D9</f>
        <v>0</v>
      </c>
      <c r="E12" s="99">
        <f t="shared" si="5"/>
        <v>0</v>
      </c>
      <c r="F12" s="99">
        <f t="shared" si="5"/>
        <v>0</v>
      </c>
      <c r="G12" s="99">
        <f t="shared" si="5"/>
        <v>253.49941637910217</v>
      </c>
      <c r="H12" s="99">
        <f t="shared" si="5"/>
        <v>253.49941637910217</v>
      </c>
      <c r="I12" s="99">
        <f t="shared" si="5"/>
        <v>253.49941637910217</v>
      </c>
      <c r="J12" s="99">
        <f t="shared" si="5"/>
        <v>253.49941637910217</v>
      </c>
      <c r="K12" s="99">
        <f t="shared" si="5"/>
        <v>253.49941637910217</v>
      </c>
      <c r="L12" s="99">
        <f t="shared" si="5"/>
        <v>253.49941637910217</v>
      </c>
      <c r="M12" s="99">
        <f t="shared" si="5"/>
        <v>253.49941637910217</v>
      </c>
      <c r="N12" s="99">
        <f t="shared" si="5"/>
        <v>253.49941637910217</v>
      </c>
      <c r="O12" s="99">
        <f t="shared" si="5"/>
        <v>253.49941637910217</v>
      </c>
      <c r="P12" s="99">
        <f t="shared" si="5"/>
        <v>2281.4947474119181</v>
      </c>
      <c r="Q12" s="99">
        <f t="shared" si="5"/>
        <v>1004.7291426747307</v>
      </c>
      <c r="R12" s="99">
        <f t="shared" si="5"/>
        <v>1004.7291426747307</v>
      </c>
      <c r="S12" s="99">
        <f t="shared" si="5"/>
        <v>1004.7291426747307</v>
      </c>
      <c r="T12" s="99">
        <f t="shared" si="5"/>
        <v>1004.7291426747307</v>
      </c>
      <c r="U12" s="99">
        <f t="shared" si="5"/>
        <v>1004.7291426747307</v>
      </c>
      <c r="V12" s="99">
        <f t="shared" si="5"/>
        <v>1004.7291426747307</v>
      </c>
      <c r="W12" s="99">
        <f t="shared" si="5"/>
        <v>1004.7291426747307</v>
      </c>
      <c r="X12" s="99">
        <f t="shared" si="5"/>
        <v>1004.7291426747307</v>
      </c>
      <c r="Y12" s="99">
        <f t="shared" si="5"/>
        <v>1004.7291426747307</v>
      </c>
      <c r="Z12" s="99">
        <f t="shared" si="5"/>
        <v>1004.7291426747307</v>
      </c>
      <c r="AA12" s="99">
        <f t="shared" si="5"/>
        <v>1004.7291426747307</v>
      </c>
      <c r="AB12" s="99">
        <f t="shared" si="5"/>
        <v>1004.7291426747307</v>
      </c>
      <c r="AC12" s="99">
        <f t="shared" si="5"/>
        <v>12056.749712096767</v>
      </c>
      <c r="AD12" s="99">
        <f t="shared" si="5"/>
        <v>25406.029725635046</v>
      </c>
      <c r="AE12" s="99">
        <f t="shared" si="5"/>
        <v>21399.451365276258</v>
      </c>
      <c r="AF12" s="99">
        <f t="shared" si="5"/>
        <v>16924.215038916958</v>
      </c>
      <c r="AG12" s="99">
        <f t="shared" si="5"/>
        <v>22368.757109488077</v>
      </c>
      <c r="AH12" s="99">
        <f t="shared" si="5"/>
        <v>27634.514350897378</v>
      </c>
    </row>
    <row r="13" spans="1:35" ht="15" customHeight="1">
      <c r="A13" s="104" t="s">
        <v>165</v>
      </c>
      <c r="B13" s="98">
        <f t="shared" si="3"/>
        <v>60039.961203977691</v>
      </c>
      <c r="C13" s="99"/>
      <c r="D13" s="102"/>
      <c r="E13" s="102"/>
      <c r="F13" s="102"/>
      <c r="G13" s="102">
        <f>Пост!$C$15+Пост!$C$17+Пост!$C$20</f>
        <v>734.59471129910719</v>
      </c>
      <c r="H13" s="102">
        <f>Пост!$C$15+Пост!$C$17+Пост!$C$20</f>
        <v>734.59471129910719</v>
      </c>
      <c r="I13" s="102">
        <f>Пост!$C$15+Пост!$C$17+Пост!$C$20</f>
        <v>734.59471129910719</v>
      </c>
      <c r="J13" s="102">
        <f>Пост!$C$15+Пост!$C$17+Пост!$C$20</f>
        <v>734.59471129910719</v>
      </c>
      <c r="K13" s="102">
        <f>Пост!$C$15+Пост!$C$17+Пост!$C$20</f>
        <v>734.59471129910719</v>
      </c>
      <c r="L13" s="102">
        <f>Пост!$C$15+Пост!$C$17+Пост!$C$20</f>
        <v>734.59471129910719</v>
      </c>
      <c r="M13" s="102">
        <f>Пост!$C$15+Пост!$C$17+Пост!$C$20</f>
        <v>734.59471129910719</v>
      </c>
      <c r="N13" s="102">
        <f>Пост!$C$15+Пост!$C$17+Пост!$C$20</f>
        <v>734.59471129910719</v>
      </c>
      <c r="O13" s="102">
        <f>Пост!$C$15+Пост!$C$17+Пост!$C$20</f>
        <v>734.59471129910719</v>
      </c>
      <c r="P13" s="99">
        <f t="shared" ref="P13:P18" si="6">SUM(D13:O13)</f>
        <v>6611.3524016919646</v>
      </c>
      <c r="Q13" s="102">
        <f>Пост!$D$15+Пост!$D$17+Пост!$D$20</f>
        <v>736.36006268303584</v>
      </c>
      <c r="R13" s="102">
        <f>Пост!$D$15+Пост!$D$17+Пост!$D$20</f>
        <v>736.36006268303584</v>
      </c>
      <c r="S13" s="102">
        <f>Пост!$D$15+Пост!$D$17+Пост!$D$20</f>
        <v>736.36006268303584</v>
      </c>
      <c r="T13" s="102">
        <f>Пост!$D$15+Пост!$D$17+Пост!$D$20</f>
        <v>736.36006268303584</v>
      </c>
      <c r="U13" s="102">
        <f>Пост!$D$15+Пост!$D$17+Пост!$D$20</f>
        <v>736.36006268303584</v>
      </c>
      <c r="V13" s="102">
        <f>Пост!$D$15+Пост!$D$17+Пост!$D$20</f>
        <v>736.36006268303584</v>
      </c>
      <c r="W13" s="102">
        <f>Пост!$D$15+Пост!$D$17+Пост!$D$20</f>
        <v>736.36006268303584</v>
      </c>
      <c r="X13" s="102">
        <f>Пост!$D$15+Пост!$D$17+Пост!$D$20</f>
        <v>736.36006268303584</v>
      </c>
      <c r="Y13" s="102">
        <f>Пост!$D$15+Пост!$D$17+Пост!$D$20</f>
        <v>736.36006268303584</v>
      </c>
      <c r="Z13" s="102">
        <f>Пост!$D$15+Пост!$D$17+Пост!$D$20</f>
        <v>736.36006268303584</v>
      </c>
      <c r="AA13" s="102">
        <f>Пост!$D$15+Пост!$D$17+Пост!$D$20</f>
        <v>736.36006268303584</v>
      </c>
      <c r="AB13" s="102">
        <f>Пост!$D$15+Пост!$D$17+Пост!$D$20</f>
        <v>736.36006268303584</v>
      </c>
      <c r="AC13" s="99">
        <f t="shared" ref="AC13:AC18" si="7">SUM(Q13:AB13)</f>
        <v>8836.3207521964305</v>
      </c>
      <c r="AD13" s="102">
        <f>(Пост!E15+Пост!E17+Пост!E20)*12</f>
        <v>8859.9049688035739</v>
      </c>
      <c r="AE13" s="102">
        <f>(Пост!F15+Пост!F17+Пост!F20)*12</f>
        <v>8886.129185410713</v>
      </c>
      <c r="AF13" s="102">
        <f>(Пост!G15+Пост!G17+Пост!G20)*12</f>
        <v>8915.2574020178581</v>
      </c>
      <c r="AG13" s="102">
        <f>(Пост!H15+Пост!H17+Пост!H20)*12</f>
        <v>8947.5800186250017</v>
      </c>
      <c r="AH13" s="102">
        <f>(Пост!I15+Пост!I17+Пост!I20)*12</f>
        <v>8983.4164752321431</v>
      </c>
    </row>
    <row r="14" spans="1:35" ht="15" customHeight="1">
      <c r="A14" s="104" t="s">
        <v>84</v>
      </c>
      <c r="B14" s="98">
        <f t="shared" si="3"/>
        <v>23492.878875000002</v>
      </c>
      <c r="C14" s="99"/>
      <c r="D14" s="102"/>
      <c r="E14" s="102"/>
      <c r="F14" s="102"/>
      <c r="G14" s="102">
        <f>Пост!$C$30/12</f>
        <v>290.03554166666669</v>
      </c>
      <c r="H14" s="102">
        <f>Пост!$C$30/12</f>
        <v>290.03554166666669</v>
      </c>
      <c r="I14" s="102">
        <f>Пост!$C$30/12</f>
        <v>290.03554166666669</v>
      </c>
      <c r="J14" s="102">
        <f>Пост!$C$30/12</f>
        <v>290.03554166666669</v>
      </c>
      <c r="K14" s="102">
        <f>Пост!$C$30/12</f>
        <v>290.03554166666669</v>
      </c>
      <c r="L14" s="102">
        <f>Пост!$C$30/12</f>
        <v>290.03554166666669</v>
      </c>
      <c r="M14" s="102">
        <f>Пост!$C$30/12</f>
        <v>290.03554166666669</v>
      </c>
      <c r="N14" s="102">
        <f>Пост!$C$30/12</f>
        <v>290.03554166666669</v>
      </c>
      <c r="O14" s="102">
        <f>Пост!$C$30/12</f>
        <v>290.03554166666669</v>
      </c>
      <c r="P14" s="99">
        <f t="shared" si="6"/>
        <v>2610.3198750000001</v>
      </c>
      <c r="Q14" s="102">
        <f>Пост!$D$30/12</f>
        <v>290.03554166666669</v>
      </c>
      <c r="R14" s="102">
        <f>Пост!$D$30/12</f>
        <v>290.03554166666669</v>
      </c>
      <c r="S14" s="102">
        <f>Пост!$D$30/12</f>
        <v>290.03554166666669</v>
      </c>
      <c r="T14" s="102">
        <f>Пост!$D$30/12</f>
        <v>290.03554166666669</v>
      </c>
      <c r="U14" s="102">
        <f>Пост!$D$30/12</f>
        <v>290.03554166666669</v>
      </c>
      <c r="V14" s="102">
        <f>Пост!$D$30/12</f>
        <v>290.03554166666669</v>
      </c>
      <c r="W14" s="102">
        <f>Пост!$D$30/12</f>
        <v>290.03554166666669</v>
      </c>
      <c r="X14" s="102">
        <f>Пост!$D$30/12</f>
        <v>290.03554166666669</v>
      </c>
      <c r="Y14" s="102">
        <f>Пост!$D$30/12</f>
        <v>290.03554166666669</v>
      </c>
      <c r="Z14" s="102">
        <f>Пост!$D$30/12</f>
        <v>290.03554166666669</v>
      </c>
      <c r="AA14" s="102">
        <f>Пост!$D$30/12</f>
        <v>290.03554166666669</v>
      </c>
      <c r="AB14" s="102">
        <f>Пост!$D$30/12</f>
        <v>290.03554166666669</v>
      </c>
      <c r="AC14" s="99">
        <f t="shared" si="7"/>
        <v>3480.4265</v>
      </c>
      <c r="AD14" s="102">
        <f>Пост!E30</f>
        <v>3480.4265</v>
      </c>
      <c r="AE14" s="102">
        <f>Пост!F30</f>
        <v>3480.4265</v>
      </c>
      <c r="AF14" s="102">
        <f>Пост!G30</f>
        <v>3480.4265</v>
      </c>
      <c r="AG14" s="102">
        <f>Пост!H30</f>
        <v>3480.4265</v>
      </c>
      <c r="AH14" s="102">
        <f>Пост!I30</f>
        <v>3480.4265</v>
      </c>
    </row>
    <row r="15" spans="1:35" ht="15" customHeight="1">
      <c r="A15" s="104" t="s">
        <v>29</v>
      </c>
      <c r="B15" s="98">
        <f t="shared" si="3"/>
        <v>19117.110775830668</v>
      </c>
      <c r="C15" s="99"/>
      <c r="D15" s="102">
        <f>кр!C9</f>
        <v>0</v>
      </c>
      <c r="E15" s="102">
        <f>кр!D9</f>
        <v>22.89336186666667</v>
      </c>
      <c r="F15" s="102">
        <f>кр!E9</f>
        <v>75.180413840000014</v>
      </c>
      <c r="G15" s="102">
        <f>кр!F9</f>
        <v>340.71751839372922</v>
      </c>
      <c r="H15" s="102">
        <f>кр!G9</f>
        <v>342.44095695596008</v>
      </c>
      <c r="I15" s="102">
        <f>кр!H9</f>
        <v>344.16439551819104</v>
      </c>
      <c r="J15" s="102">
        <f>кр!I9</f>
        <v>425.83106218485773</v>
      </c>
      <c r="K15" s="102">
        <f>кр!J9</f>
        <v>425.83106218485773</v>
      </c>
      <c r="L15" s="102">
        <f>кр!K9</f>
        <v>425.83106218485773</v>
      </c>
      <c r="M15" s="102">
        <f>кр!L9</f>
        <v>439.84791954477754</v>
      </c>
      <c r="N15" s="102">
        <f>кр!M9</f>
        <v>433.9832806175138</v>
      </c>
      <c r="O15" s="102">
        <f>кр!N9</f>
        <v>428.11864169025006</v>
      </c>
      <c r="P15" s="99">
        <f t="shared" si="6"/>
        <v>3704.8396749816616</v>
      </c>
      <c r="Q15" s="102">
        <f>кр!P9</f>
        <v>422.25400276298637</v>
      </c>
      <c r="R15" s="102">
        <f>кр!Q9</f>
        <v>416.38936383572263</v>
      </c>
      <c r="S15" s="102">
        <f>кр!R9</f>
        <v>410.52472490845889</v>
      </c>
      <c r="T15" s="102">
        <f>кр!S9</f>
        <v>404.66008598119515</v>
      </c>
      <c r="U15" s="102">
        <f>кр!T9</f>
        <v>398.79544705393141</v>
      </c>
      <c r="V15" s="102">
        <f>кр!U9</f>
        <v>392.93080812666767</v>
      </c>
      <c r="W15" s="102">
        <f>кр!V9</f>
        <v>387.06616919940393</v>
      </c>
      <c r="X15" s="102">
        <f>кр!W9</f>
        <v>381.20153027214025</v>
      </c>
      <c r="Y15" s="102">
        <f>кр!X9</f>
        <v>375.33689134487662</v>
      </c>
      <c r="Z15" s="102">
        <f>кр!Y9</f>
        <v>369.47225241761288</v>
      </c>
      <c r="AA15" s="102">
        <f>кр!Z9</f>
        <v>363.60761349034919</v>
      </c>
      <c r="AB15" s="102">
        <f>кр!AA9</f>
        <v>357.74297456308551</v>
      </c>
      <c r="AC15" s="99">
        <f t="shared" si="7"/>
        <v>4679.9818639564301</v>
      </c>
      <c r="AD15" s="102">
        <f>кр!AO9</f>
        <v>3835.4738584304578</v>
      </c>
      <c r="AE15" s="102">
        <f>кр!BB9</f>
        <v>2990.9658529044868</v>
      </c>
      <c r="AF15" s="102">
        <f>кр!BO9</f>
        <v>2146.4578473785155</v>
      </c>
      <c r="AG15" s="102">
        <f>кр!CB9</f>
        <v>1301.9498418525441</v>
      </c>
      <c r="AH15" s="102">
        <f>кр!CO9</f>
        <v>457.44183632657155</v>
      </c>
    </row>
    <row r="16" spans="1:35" ht="15" customHeight="1">
      <c r="A16" s="104" t="s">
        <v>37</v>
      </c>
      <c r="B16" s="98">
        <f t="shared" si="3"/>
        <v>25421.261194914052</v>
      </c>
      <c r="C16" s="103"/>
      <c r="D16" s="102">
        <f>D12-D13-D15-D14</f>
        <v>0</v>
      </c>
      <c r="E16" s="102">
        <f t="shared" ref="E16:O16" si="8">E12-E13-E15-E14</f>
        <v>-22.89336186666667</v>
      </c>
      <c r="F16" s="102">
        <f t="shared" si="8"/>
        <v>-75.180413840000014</v>
      </c>
      <c r="G16" s="102">
        <f t="shared" si="8"/>
        <v>-1111.8483549804009</v>
      </c>
      <c r="H16" s="102">
        <f t="shared" si="8"/>
        <v>-1113.5717935426317</v>
      </c>
      <c r="I16" s="102">
        <f t="shared" si="8"/>
        <v>-1115.2952321048626</v>
      </c>
      <c r="J16" s="102">
        <f t="shared" si="8"/>
        <v>-1196.9618987715294</v>
      </c>
      <c r="K16" s="102">
        <f t="shared" si="8"/>
        <v>-1196.9618987715294</v>
      </c>
      <c r="L16" s="102">
        <f t="shared" si="8"/>
        <v>-1196.9618987715294</v>
      </c>
      <c r="M16" s="102">
        <f t="shared" si="8"/>
        <v>-1210.9787561314492</v>
      </c>
      <c r="N16" s="102">
        <f t="shared" si="8"/>
        <v>-1205.1141172041855</v>
      </c>
      <c r="O16" s="102">
        <f t="shared" si="8"/>
        <v>-1199.2494782769218</v>
      </c>
      <c r="P16" s="99">
        <f t="shared" si="6"/>
        <v>-10645.017204261709</v>
      </c>
      <c r="Q16" s="102">
        <f t="shared" ref="Q16:AB16" si="9">Q12-Q13-Q15-Q14</f>
        <v>-443.92046443795817</v>
      </c>
      <c r="R16" s="102">
        <f t="shared" si="9"/>
        <v>-438.05582551069443</v>
      </c>
      <c r="S16" s="102">
        <f t="shared" si="9"/>
        <v>-432.19118658343069</v>
      </c>
      <c r="T16" s="102">
        <f t="shared" si="9"/>
        <v>-426.32654765616695</v>
      </c>
      <c r="U16" s="102">
        <f t="shared" si="9"/>
        <v>-420.46190872890321</v>
      </c>
      <c r="V16" s="102">
        <f t="shared" si="9"/>
        <v>-414.59726980163947</v>
      </c>
      <c r="W16" s="102">
        <f t="shared" si="9"/>
        <v>-408.73263087437573</v>
      </c>
      <c r="X16" s="102">
        <f t="shared" si="9"/>
        <v>-402.86799194711205</v>
      </c>
      <c r="Y16" s="102">
        <f t="shared" si="9"/>
        <v>-397.00335301984842</v>
      </c>
      <c r="Z16" s="102">
        <f t="shared" si="9"/>
        <v>-391.13871409258468</v>
      </c>
      <c r="AA16" s="102">
        <f t="shared" si="9"/>
        <v>-385.27407516532099</v>
      </c>
      <c r="AB16" s="102">
        <f t="shared" si="9"/>
        <v>-379.40943623805731</v>
      </c>
      <c r="AC16" s="99">
        <f t="shared" si="7"/>
        <v>-4939.9794040560919</v>
      </c>
      <c r="AD16" s="102">
        <f>AD12-AD13-AD15-AD14</f>
        <v>9230.2243984010147</v>
      </c>
      <c r="AE16" s="102">
        <f>AE12-AE13-AE15-AE14</f>
        <v>6041.929826961059</v>
      </c>
      <c r="AF16" s="102">
        <f>AF12-AF13-AF15-AF14</f>
        <v>2382.0732895205851</v>
      </c>
      <c r="AG16" s="102">
        <f>AG12-AG13-AG15-AG14</f>
        <v>8638.8007490105319</v>
      </c>
      <c r="AH16" s="102">
        <f>AH12-AH13-AH15-AH14</f>
        <v>14713.229539338661</v>
      </c>
    </row>
    <row r="17" spans="1:177" ht="15" customHeight="1">
      <c r="A17" s="104" t="s">
        <v>30</v>
      </c>
      <c r="B17" s="98">
        <f t="shared" si="3"/>
        <v>1525.2756716948429</v>
      </c>
      <c r="C17" s="99"/>
      <c r="D17" s="102">
        <f>IF(D16+C19&lt;0,0,IF(C19&lt;0,(C19+D16)*Исх!$C$19,D16*Исх!$C$19))</f>
        <v>0</v>
      </c>
      <c r="E17" s="102">
        <f>IF(E16+D19&lt;0,0,IF(D19&lt;0,(D19+E16)*Исх!$C$19,E16*Исх!$C$19))</f>
        <v>0</v>
      </c>
      <c r="F17" s="102">
        <f>IF(F16+E19&lt;0,0,IF(E19&lt;0,(E19+F16)*Исх!$C$19,F16*Исх!$C$19))</f>
        <v>0</v>
      </c>
      <c r="G17" s="102">
        <f>IF(G16+F19&lt;0,0,IF(F19&lt;0,(F19+G16)*Исх!$C$19,G16*Исх!$C$19))</f>
        <v>0</v>
      </c>
      <c r="H17" s="102">
        <f>IF(H16+G19&lt;0,0,IF(G19&lt;0,(G19+H16)*Исх!$C$19,H16*Исх!$C$19))</f>
        <v>0</v>
      </c>
      <c r="I17" s="102">
        <f>IF(I16+H19&lt;0,0,IF(H19&lt;0,(H19+I16)*Исх!$C$19,I16*Исх!$C$19))</f>
        <v>0</v>
      </c>
      <c r="J17" s="102">
        <f>IF(J16+I19&lt;0,0,IF(I19&lt;0,(I19+J16)*Исх!$C$19,J16*Исх!$C$19))</f>
        <v>0</v>
      </c>
      <c r="K17" s="102">
        <f>IF(K16+J19&lt;0,0,IF(J19&lt;0,(J19+K16)*Исх!$C$19,K16*Исх!$C$19))</f>
        <v>0</v>
      </c>
      <c r="L17" s="102">
        <f>IF(L16+K19&lt;0,0,IF(K19&lt;0,(K19+L16)*Исх!$C$19,L16*Исх!$C$19))</f>
        <v>0</v>
      </c>
      <c r="M17" s="102">
        <f>IF(M16+L19&lt;0,0,IF(L19&lt;0,(L19+M16)*Исх!$C$19,M16*Исх!$C$19))</f>
        <v>0</v>
      </c>
      <c r="N17" s="102">
        <f>IF(N16+M19&lt;0,0,IF(M19&lt;0,(M19+N16)*Исх!$C$19,N16*Исх!$C$19))</f>
        <v>0</v>
      </c>
      <c r="O17" s="102">
        <f>IF(O16+N19&lt;0,0,IF(N19&lt;0,(N19+O16)*Исх!$C$19,O16*Исх!$C$19))</f>
        <v>0</v>
      </c>
      <c r="P17" s="99">
        <f t="shared" si="6"/>
        <v>0</v>
      </c>
      <c r="Q17" s="102">
        <f>IF(Q16+P19&lt;0,0,IF(P19&lt;0,(P19+Q16)*Исх!$C$19,Q16*Исх!$C$19))</f>
        <v>0</v>
      </c>
      <c r="R17" s="102">
        <f>IF(R16+Q19&lt;0,0,IF(Q19&lt;0,(Q19+R16)*Исх!$C$19,R16*Исх!$C$19))</f>
        <v>0</v>
      </c>
      <c r="S17" s="102">
        <f>IF(S16+R19&lt;0,0,IF(R19&lt;0,(R19+S16)*Исх!$C$19,S16*Исх!$C$19))</f>
        <v>0</v>
      </c>
      <c r="T17" s="102">
        <f>IF(T16+S19&lt;0,0,IF(S19&lt;0,(S19+T16)*Исх!$C$19,T16*Исх!$C$19))</f>
        <v>0</v>
      </c>
      <c r="U17" s="102">
        <f>IF(U16+T19&lt;0,0,IF(T19&lt;0,(T19+U16)*Исх!$C$19,U16*Исх!$C$19))</f>
        <v>0</v>
      </c>
      <c r="V17" s="102">
        <f>IF(V16+U19&lt;0,0,IF(U19&lt;0,(U19+V16)*Исх!$C$19,V16*Исх!$C$19))</f>
        <v>0</v>
      </c>
      <c r="W17" s="102">
        <f>IF(W16+V19&lt;0,0,IF(V19&lt;0,(V19+W16)*Исх!$C$19,W16*Исх!$C$19))</f>
        <v>0</v>
      </c>
      <c r="X17" s="102">
        <f>IF(X16+W19&lt;0,0,IF(W19&lt;0,(W19+X16)*Исх!$C$19,X16*Исх!$C$19))</f>
        <v>0</v>
      </c>
      <c r="Y17" s="102">
        <f>IF(Y16+X19&lt;0,0,IF(X19&lt;0,(X19+Y16)*Исх!$C$19,Y16*Исх!$C$19))</f>
        <v>0</v>
      </c>
      <c r="Z17" s="102">
        <f>IF(Z16+Y19&lt;0,0,IF(Y19&lt;0,(Y19+Z16)*Исх!$C$19,Z16*Исх!$C$19))</f>
        <v>0</v>
      </c>
      <c r="AA17" s="102">
        <f>IF(AA16+Z19&lt;0,0,IF(Z19&lt;0,(Z19+AA16)*Исх!$C$19,AA16*Исх!$C$19))</f>
        <v>0</v>
      </c>
      <c r="AB17" s="102">
        <f>IF(AB16+AA19&lt;0,0,IF(AA19&lt;0,(AA19+AB16)*Исх!$C$19,AB16*Исх!$C$19))</f>
        <v>0</v>
      </c>
      <c r="AC17" s="99">
        <f t="shared" si="7"/>
        <v>0</v>
      </c>
      <c r="AD17" s="102">
        <f>IF(AD16+AC19&lt;0,0,IF(AC19&lt;0,(AC19+AD16)*Исх!$C$19,AD16*Исх!$C$19))</f>
        <v>0</v>
      </c>
      <c r="AE17" s="102">
        <f>IF(AE16+AD19&lt;0,0,IF(AD19&lt;0,(AD19+AE16)*Исх!$C$19,AE16*Исх!$C$19))</f>
        <v>0</v>
      </c>
      <c r="AF17" s="102">
        <f>IF(AF16+AE19&lt;0,0,IF(AE19&lt;0,(AE19+AF16)*Исх!$C$19,AF16*Исх!$C$19))</f>
        <v>124.15385439389138</v>
      </c>
      <c r="AG17" s="102">
        <f>IF(AG16+AF19&lt;0,0,IF(AF19&lt;0,(AF19+AG16)*Исх!$C$19,AG16*Исх!$C$19))</f>
        <v>518.32804494063191</v>
      </c>
      <c r="AH17" s="102">
        <f>IF(AH16+AG19&lt;0,0,IF(AG19&lt;0,(AG19+AH16)*Исх!$C$19,AH16*Исх!$C$19))</f>
        <v>882.79377236031962</v>
      </c>
    </row>
    <row r="18" spans="1:177" ht="15" customHeight="1">
      <c r="A18" s="104" t="s">
        <v>4</v>
      </c>
      <c r="B18" s="98">
        <f t="shared" si="3"/>
        <v>23895.985523219209</v>
      </c>
      <c r="C18" s="103"/>
      <c r="D18" s="102">
        <f t="shared" ref="D18:Q18" si="10">D16-D17</f>
        <v>0</v>
      </c>
      <c r="E18" s="102">
        <f>E16-E17</f>
        <v>-22.89336186666667</v>
      </c>
      <c r="F18" s="102">
        <f t="shared" si="10"/>
        <v>-75.180413840000014</v>
      </c>
      <c r="G18" s="102">
        <f t="shared" si="10"/>
        <v>-1111.8483549804009</v>
      </c>
      <c r="H18" s="102">
        <f t="shared" si="10"/>
        <v>-1113.5717935426317</v>
      </c>
      <c r="I18" s="102">
        <f t="shared" si="10"/>
        <v>-1115.2952321048626</v>
      </c>
      <c r="J18" s="102">
        <f t="shared" si="10"/>
        <v>-1196.9618987715294</v>
      </c>
      <c r="K18" s="102">
        <f t="shared" si="10"/>
        <v>-1196.9618987715294</v>
      </c>
      <c r="L18" s="102">
        <f t="shared" si="10"/>
        <v>-1196.9618987715294</v>
      </c>
      <c r="M18" s="102">
        <f t="shared" si="10"/>
        <v>-1210.9787561314492</v>
      </c>
      <c r="N18" s="102">
        <f t="shared" si="10"/>
        <v>-1205.1141172041855</v>
      </c>
      <c r="O18" s="102">
        <f t="shared" si="10"/>
        <v>-1199.2494782769218</v>
      </c>
      <c r="P18" s="99">
        <f t="shared" si="6"/>
        <v>-10645.017204261709</v>
      </c>
      <c r="Q18" s="102">
        <f t="shared" si="10"/>
        <v>-443.92046443795817</v>
      </c>
      <c r="R18" s="102">
        <f t="shared" ref="R18:AF18" si="11">R16-R17</f>
        <v>-438.05582551069443</v>
      </c>
      <c r="S18" s="102">
        <f t="shared" si="11"/>
        <v>-432.19118658343069</v>
      </c>
      <c r="T18" s="102">
        <f t="shared" si="11"/>
        <v>-426.32654765616695</v>
      </c>
      <c r="U18" s="102">
        <f t="shared" si="11"/>
        <v>-420.46190872890321</v>
      </c>
      <c r="V18" s="102">
        <f t="shared" si="11"/>
        <v>-414.59726980163947</v>
      </c>
      <c r="W18" s="102">
        <f t="shared" si="11"/>
        <v>-408.73263087437573</v>
      </c>
      <c r="X18" s="102">
        <f t="shared" si="11"/>
        <v>-402.86799194711205</v>
      </c>
      <c r="Y18" s="102">
        <f t="shared" si="11"/>
        <v>-397.00335301984842</v>
      </c>
      <c r="Z18" s="102">
        <f t="shared" si="11"/>
        <v>-391.13871409258468</v>
      </c>
      <c r="AA18" s="102">
        <f t="shared" si="11"/>
        <v>-385.27407516532099</v>
      </c>
      <c r="AB18" s="102">
        <f t="shared" si="11"/>
        <v>-379.40943623805731</v>
      </c>
      <c r="AC18" s="99">
        <f t="shared" si="7"/>
        <v>-4939.9794040560919</v>
      </c>
      <c r="AD18" s="102">
        <f t="shared" si="11"/>
        <v>9230.2243984010147</v>
      </c>
      <c r="AE18" s="102">
        <f t="shared" si="11"/>
        <v>6041.929826961059</v>
      </c>
      <c r="AF18" s="102">
        <f t="shared" si="11"/>
        <v>2257.9194351266938</v>
      </c>
      <c r="AG18" s="102">
        <f>AG16-AG17</f>
        <v>8120.4727040698999</v>
      </c>
      <c r="AH18" s="102">
        <f>AH16-AH17</f>
        <v>13830.435766978342</v>
      </c>
    </row>
    <row r="19" spans="1:177" ht="15" customHeight="1">
      <c r="A19" s="104" t="s">
        <v>35</v>
      </c>
      <c r="B19" s="105">
        <f>AH19</f>
        <v>23895.985523219206</v>
      </c>
      <c r="C19" s="106"/>
      <c r="D19" s="102">
        <f>C19+D18</f>
        <v>0</v>
      </c>
      <c r="E19" s="102">
        <f>D19+E18</f>
        <v>-22.89336186666667</v>
      </c>
      <c r="F19" s="102">
        <f t="shared" ref="F19:O19" si="12">E19+F18</f>
        <v>-98.07377570666668</v>
      </c>
      <c r="G19" s="102">
        <f t="shared" si="12"/>
        <v>-1209.9221306870677</v>
      </c>
      <c r="H19" s="102">
        <f t="shared" si="12"/>
        <v>-2323.4939242296996</v>
      </c>
      <c r="I19" s="102">
        <f t="shared" si="12"/>
        <v>-3438.789156334562</v>
      </c>
      <c r="J19" s="102">
        <f t="shared" si="12"/>
        <v>-4635.7510551060914</v>
      </c>
      <c r="K19" s="102">
        <f t="shared" si="12"/>
        <v>-5832.7129538776207</v>
      </c>
      <c r="L19" s="102">
        <f t="shared" si="12"/>
        <v>-7029.6748526491501</v>
      </c>
      <c r="M19" s="102">
        <f t="shared" si="12"/>
        <v>-8240.6536087805998</v>
      </c>
      <c r="N19" s="102">
        <f t="shared" si="12"/>
        <v>-9445.767725984786</v>
      </c>
      <c r="O19" s="102">
        <f t="shared" si="12"/>
        <v>-10645.017204261709</v>
      </c>
      <c r="P19" s="99">
        <f>O19</f>
        <v>-10645.017204261709</v>
      </c>
      <c r="Q19" s="102">
        <f>P19+Q18</f>
        <v>-11088.937668699667</v>
      </c>
      <c r="R19" s="102">
        <f t="shared" ref="R19:AA19" si="13">Q19+R18</f>
        <v>-11526.993494210363</v>
      </c>
      <c r="S19" s="102">
        <f t="shared" si="13"/>
        <v>-11959.184680793793</v>
      </c>
      <c r="T19" s="102">
        <f t="shared" si="13"/>
        <v>-12385.511228449959</v>
      </c>
      <c r="U19" s="102">
        <f t="shared" si="13"/>
        <v>-12805.973137178862</v>
      </c>
      <c r="V19" s="102">
        <f t="shared" si="13"/>
        <v>-13220.570406980502</v>
      </c>
      <c r="W19" s="102">
        <f t="shared" si="13"/>
        <v>-13629.303037854877</v>
      </c>
      <c r="X19" s="102">
        <f t="shared" si="13"/>
        <v>-14032.17102980199</v>
      </c>
      <c r="Y19" s="102">
        <f t="shared" si="13"/>
        <v>-14429.174382821839</v>
      </c>
      <c r="Z19" s="102">
        <f t="shared" si="13"/>
        <v>-14820.313096914424</v>
      </c>
      <c r="AA19" s="102">
        <f t="shared" si="13"/>
        <v>-15205.587172079746</v>
      </c>
      <c r="AB19" s="102">
        <f>AA19+AB18</f>
        <v>-15584.996608317802</v>
      </c>
      <c r="AC19" s="99">
        <f>AB19</f>
        <v>-15584.996608317802</v>
      </c>
      <c r="AD19" s="102">
        <f>AC19+AD18</f>
        <v>-6354.7722099167877</v>
      </c>
      <c r="AE19" s="102">
        <f>AD19+AE18</f>
        <v>-312.84238295572868</v>
      </c>
      <c r="AF19" s="102">
        <f>AE19+AF18</f>
        <v>1945.0770521709651</v>
      </c>
      <c r="AG19" s="102">
        <f>AF19+AG18</f>
        <v>10065.549756240865</v>
      </c>
      <c r="AH19" s="102">
        <f>AG19+AH18</f>
        <v>23895.985523219206</v>
      </c>
    </row>
    <row r="20" spans="1:177" ht="15" customHeight="1">
      <c r="A20" s="107"/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108"/>
      <c r="AA20" s="108"/>
      <c r="AB20" s="108"/>
      <c r="AC20" s="108"/>
      <c r="AD20" s="108"/>
      <c r="AE20" s="108"/>
      <c r="AF20" s="108"/>
      <c r="AG20" s="108"/>
      <c r="AH20" s="108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  <c r="AU20" s="107"/>
      <c r="AV20" s="107"/>
      <c r="AW20" s="107"/>
      <c r="AX20" s="107"/>
      <c r="AY20" s="107"/>
      <c r="AZ20" s="107"/>
      <c r="BA20" s="107"/>
      <c r="BB20" s="107"/>
      <c r="BC20" s="107"/>
      <c r="BD20" s="107"/>
      <c r="BE20" s="107"/>
      <c r="BF20" s="107"/>
      <c r="BG20" s="107"/>
      <c r="BH20" s="107"/>
      <c r="BI20" s="107"/>
      <c r="BJ20" s="107"/>
      <c r="BK20" s="107"/>
      <c r="BL20" s="107"/>
      <c r="BM20" s="107"/>
      <c r="BN20" s="107"/>
      <c r="BO20" s="107"/>
      <c r="BP20" s="107"/>
      <c r="BQ20" s="107"/>
      <c r="BR20" s="107"/>
      <c r="BS20" s="107"/>
      <c r="BT20" s="107"/>
      <c r="BU20" s="107"/>
      <c r="BV20" s="107"/>
      <c r="BW20" s="107"/>
      <c r="BX20" s="107"/>
      <c r="BY20" s="107"/>
      <c r="BZ20" s="107"/>
      <c r="CA20" s="107"/>
      <c r="CB20" s="107"/>
      <c r="CC20" s="107"/>
      <c r="CD20" s="107"/>
      <c r="CE20" s="107"/>
      <c r="CF20" s="107"/>
      <c r="CG20" s="107"/>
      <c r="CH20" s="107"/>
      <c r="CI20" s="107"/>
      <c r="CJ20" s="107"/>
      <c r="CK20" s="107"/>
      <c r="CL20" s="107"/>
      <c r="CM20" s="107"/>
      <c r="CN20" s="107"/>
      <c r="CO20" s="107"/>
      <c r="CP20" s="107"/>
      <c r="CQ20" s="107"/>
      <c r="CR20" s="107"/>
      <c r="CS20" s="107"/>
      <c r="CT20" s="107"/>
      <c r="CU20" s="107"/>
      <c r="CV20" s="107"/>
      <c r="CW20" s="107"/>
      <c r="CX20" s="107"/>
      <c r="CY20" s="107"/>
      <c r="CZ20" s="107"/>
      <c r="DA20" s="107"/>
      <c r="DB20" s="107"/>
      <c r="DC20" s="107"/>
      <c r="DD20" s="107"/>
      <c r="DE20" s="107"/>
      <c r="DF20" s="107"/>
      <c r="DG20" s="107"/>
      <c r="DH20" s="107"/>
      <c r="DI20" s="107"/>
      <c r="DJ20" s="107"/>
      <c r="DK20" s="107"/>
      <c r="DL20" s="107"/>
      <c r="DM20" s="107"/>
      <c r="DN20" s="107"/>
      <c r="DO20" s="107"/>
      <c r="DP20" s="107"/>
      <c r="DQ20" s="107"/>
      <c r="DR20" s="107"/>
      <c r="DS20" s="107"/>
      <c r="DT20" s="107"/>
      <c r="DU20" s="107"/>
      <c r="DV20" s="107"/>
      <c r="DW20" s="107"/>
      <c r="DX20" s="107"/>
      <c r="DY20" s="107"/>
      <c r="DZ20" s="107"/>
      <c r="EA20" s="107"/>
      <c r="EB20" s="107"/>
      <c r="EC20" s="107"/>
      <c r="ED20" s="107"/>
      <c r="EE20" s="107"/>
      <c r="EF20" s="107"/>
      <c r="EG20" s="107"/>
      <c r="EH20" s="107"/>
      <c r="EI20" s="107"/>
      <c r="EJ20" s="107"/>
      <c r="EK20" s="107"/>
      <c r="EL20" s="107"/>
      <c r="EM20" s="107"/>
      <c r="EN20" s="107"/>
      <c r="EO20" s="107"/>
      <c r="EP20" s="107"/>
      <c r="EQ20" s="107"/>
      <c r="ER20" s="107"/>
      <c r="ES20" s="107"/>
      <c r="ET20" s="107"/>
      <c r="EU20" s="107"/>
      <c r="EV20" s="107"/>
      <c r="EW20" s="107"/>
      <c r="EX20" s="107"/>
      <c r="EY20" s="107"/>
      <c r="EZ20" s="107"/>
      <c r="FA20" s="107"/>
      <c r="FB20" s="107"/>
      <c r="FC20" s="107"/>
      <c r="FD20" s="107"/>
      <c r="FE20" s="107"/>
      <c r="FF20" s="107"/>
      <c r="FG20" s="107"/>
      <c r="FH20" s="107"/>
      <c r="FI20" s="107"/>
      <c r="FJ20" s="107"/>
      <c r="FK20" s="107"/>
      <c r="FL20" s="107"/>
      <c r="FM20" s="107"/>
      <c r="FN20" s="107"/>
      <c r="FO20" s="107"/>
      <c r="FP20" s="107"/>
      <c r="FQ20" s="107"/>
      <c r="FR20" s="107"/>
      <c r="FS20" s="107"/>
      <c r="FT20" s="107"/>
      <c r="FU20" s="107"/>
    </row>
    <row r="21" spans="1:177" ht="15" customHeight="1">
      <c r="A21" s="90"/>
      <c r="B21" s="108"/>
      <c r="C21" s="108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107"/>
      <c r="AJ21" s="107"/>
      <c r="AK21" s="107"/>
      <c r="AL21" s="107"/>
      <c r="AM21" s="107"/>
      <c r="AN21" s="107"/>
      <c r="AO21" s="107"/>
      <c r="AP21" s="107"/>
      <c r="AQ21" s="107"/>
      <c r="AR21" s="107"/>
      <c r="AS21" s="107"/>
      <c r="AT21" s="107"/>
      <c r="AU21" s="107"/>
      <c r="AV21" s="107"/>
      <c r="AW21" s="107"/>
      <c r="AX21" s="107"/>
      <c r="AY21" s="107"/>
      <c r="AZ21" s="107"/>
      <c r="BA21" s="107"/>
      <c r="BB21" s="107"/>
      <c r="BC21" s="107"/>
      <c r="BD21" s="107"/>
      <c r="BE21" s="107"/>
      <c r="BF21" s="107"/>
      <c r="BG21" s="107"/>
      <c r="BH21" s="107"/>
      <c r="BI21" s="107"/>
      <c r="BJ21" s="107"/>
      <c r="BK21" s="107"/>
      <c r="BL21" s="107"/>
      <c r="BM21" s="107"/>
      <c r="BN21" s="107"/>
      <c r="BO21" s="107"/>
      <c r="BP21" s="107"/>
      <c r="BQ21" s="107"/>
      <c r="BR21" s="107"/>
      <c r="BS21" s="107"/>
      <c r="BT21" s="107"/>
      <c r="BU21" s="107"/>
      <c r="BV21" s="107"/>
      <c r="BW21" s="107"/>
      <c r="BX21" s="107"/>
      <c r="BY21" s="107"/>
      <c r="BZ21" s="107"/>
      <c r="CA21" s="107"/>
      <c r="CB21" s="107"/>
      <c r="CC21" s="107"/>
      <c r="CD21" s="107"/>
      <c r="CE21" s="107"/>
      <c r="CF21" s="107"/>
      <c r="CG21" s="107"/>
      <c r="CH21" s="107"/>
      <c r="CI21" s="107"/>
      <c r="CJ21" s="107"/>
      <c r="CK21" s="107"/>
      <c r="CL21" s="107"/>
      <c r="CM21" s="107"/>
      <c r="CN21" s="107"/>
      <c r="CO21" s="107"/>
      <c r="CP21" s="107"/>
      <c r="CQ21" s="107"/>
      <c r="CR21" s="107"/>
      <c r="CS21" s="107"/>
      <c r="CT21" s="107"/>
      <c r="CU21" s="107"/>
      <c r="CV21" s="107"/>
      <c r="CW21" s="107"/>
      <c r="CX21" s="107"/>
      <c r="CY21" s="107"/>
      <c r="CZ21" s="107"/>
      <c r="DA21" s="107"/>
      <c r="DB21" s="107"/>
      <c r="DC21" s="107"/>
      <c r="DD21" s="107"/>
      <c r="DE21" s="107"/>
      <c r="DF21" s="107"/>
      <c r="DG21" s="107"/>
      <c r="DH21" s="107"/>
      <c r="DI21" s="107"/>
      <c r="DJ21" s="107"/>
      <c r="DK21" s="107"/>
      <c r="DL21" s="107"/>
      <c r="DM21" s="107"/>
      <c r="DN21" s="107"/>
      <c r="DO21" s="107"/>
      <c r="DP21" s="107"/>
      <c r="DQ21" s="107"/>
      <c r="DR21" s="107"/>
      <c r="DS21" s="107"/>
      <c r="DT21" s="107"/>
      <c r="DU21" s="107"/>
      <c r="DV21" s="107"/>
      <c r="DW21" s="107"/>
      <c r="DX21" s="107"/>
      <c r="DY21" s="107"/>
      <c r="DZ21" s="107"/>
      <c r="EA21" s="107"/>
      <c r="EB21" s="107"/>
      <c r="EC21" s="107"/>
      <c r="ED21" s="107"/>
      <c r="EE21" s="107"/>
      <c r="EF21" s="107"/>
      <c r="EG21" s="107"/>
      <c r="EH21" s="107"/>
      <c r="EI21" s="107"/>
      <c r="EJ21" s="107"/>
      <c r="EK21" s="107"/>
      <c r="EL21" s="107"/>
      <c r="EM21" s="107"/>
      <c r="EN21" s="107"/>
      <c r="EO21" s="107"/>
      <c r="EP21" s="107"/>
      <c r="EQ21" s="107"/>
      <c r="ER21" s="107"/>
      <c r="ES21" s="107"/>
      <c r="ET21" s="107"/>
      <c r="EU21" s="107"/>
      <c r="EV21" s="107"/>
      <c r="EW21" s="107"/>
      <c r="EX21" s="107"/>
      <c r="EY21" s="107"/>
      <c r="EZ21" s="107"/>
      <c r="FA21" s="107"/>
      <c r="FB21" s="107"/>
      <c r="FC21" s="107"/>
      <c r="FD21" s="107"/>
      <c r="FE21" s="107"/>
      <c r="FF21" s="107"/>
      <c r="FG21" s="107"/>
      <c r="FH21" s="107"/>
      <c r="FI21" s="107"/>
      <c r="FJ21" s="107"/>
      <c r="FK21" s="107"/>
      <c r="FL21" s="107"/>
      <c r="FM21" s="107"/>
      <c r="FN21" s="107"/>
      <c r="FO21" s="107"/>
      <c r="FP21" s="107"/>
      <c r="FQ21" s="107"/>
      <c r="FR21" s="107"/>
      <c r="FS21" s="107"/>
      <c r="FT21" s="107"/>
      <c r="FU21" s="107"/>
    </row>
    <row r="22" spans="1:177" ht="15" customHeight="1">
      <c r="A22" s="107"/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08"/>
      <c r="T22" s="108"/>
      <c r="U22" s="108"/>
      <c r="V22" s="108"/>
      <c r="W22" s="108"/>
      <c r="X22" s="108"/>
      <c r="Y22" s="108"/>
      <c r="Z22" s="108"/>
      <c r="AA22" s="108"/>
      <c r="AB22" s="108"/>
      <c r="AC22" s="108"/>
      <c r="AD22" s="108"/>
      <c r="AE22" s="108"/>
      <c r="AF22" s="108"/>
      <c r="AG22" s="108"/>
      <c r="AH22" s="108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7"/>
      <c r="AT22" s="107"/>
      <c r="AU22" s="107"/>
      <c r="AV22" s="107"/>
      <c r="AW22" s="107"/>
      <c r="AX22" s="107"/>
      <c r="AY22" s="107"/>
      <c r="AZ22" s="107"/>
      <c r="BA22" s="107"/>
      <c r="BB22" s="107"/>
      <c r="BC22" s="107"/>
      <c r="BD22" s="107"/>
      <c r="BE22" s="107"/>
      <c r="BF22" s="107"/>
      <c r="BG22" s="107"/>
      <c r="BH22" s="107"/>
      <c r="BI22" s="107"/>
      <c r="BJ22" s="107"/>
      <c r="BK22" s="107"/>
      <c r="BL22" s="107"/>
      <c r="BM22" s="107"/>
      <c r="BN22" s="107"/>
      <c r="BO22" s="107"/>
      <c r="BP22" s="107"/>
      <c r="BQ22" s="107"/>
      <c r="BR22" s="107"/>
      <c r="BS22" s="107"/>
      <c r="BT22" s="107"/>
      <c r="BU22" s="107"/>
      <c r="BV22" s="107"/>
      <c r="BW22" s="107"/>
      <c r="BX22" s="107"/>
      <c r="BY22" s="107"/>
      <c r="BZ22" s="107"/>
      <c r="CA22" s="107"/>
      <c r="CB22" s="107"/>
      <c r="CC22" s="107"/>
      <c r="CD22" s="107"/>
      <c r="CE22" s="107"/>
      <c r="CF22" s="107"/>
      <c r="CG22" s="107"/>
      <c r="CH22" s="107"/>
      <c r="CI22" s="107"/>
      <c r="CJ22" s="107"/>
      <c r="CK22" s="107"/>
      <c r="CL22" s="107"/>
      <c r="CM22" s="107"/>
      <c r="CN22" s="107"/>
      <c r="CO22" s="107"/>
      <c r="CP22" s="107"/>
      <c r="CQ22" s="107"/>
      <c r="CR22" s="107"/>
      <c r="CS22" s="107"/>
      <c r="CT22" s="107"/>
      <c r="CU22" s="107"/>
      <c r="CV22" s="107"/>
      <c r="CW22" s="107"/>
      <c r="CX22" s="107"/>
      <c r="CY22" s="107"/>
      <c r="CZ22" s="107"/>
      <c r="DA22" s="107"/>
      <c r="DB22" s="107"/>
      <c r="DC22" s="107"/>
      <c r="DD22" s="107"/>
      <c r="DE22" s="107"/>
      <c r="DF22" s="107"/>
      <c r="DG22" s="107"/>
      <c r="DH22" s="107"/>
      <c r="DI22" s="107"/>
      <c r="DJ22" s="107"/>
      <c r="DK22" s="107"/>
      <c r="DL22" s="107"/>
      <c r="DM22" s="107"/>
      <c r="DN22" s="107"/>
      <c r="DO22" s="107"/>
      <c r="DP22" s="107"/>
      <c r="DQ22" s="107"/>
      <c r="DR22" s="107"/>
      <c r="DS22" s="107"/>
      <c r="DT22" s="107"/>
      <c r="DU22" s="107"/>
      <c r="DV22" s="107"/>
      <c r="DW22" s="107"/>
      <c r="DX22" s="107"/>
      <c r="DY22" s="107"/>
      <c r="DZ22" s="107"/>
      <c r="EA22" s="107"/>
      <c r="EB22" s="107"/>
      <c r="EC22" s="107"/>
      <c r="ED22" s="107"/>
      <c r="EE22" s="107"/>
      <c r="EF22" s="107"/>
      <c r="EG22" s="107"/>
      <c r="EH22" s="107"/>
      <c r="EI22" s="107"/>
      <c r="EJ22" s="107"/>
      <c r="EK22" s="107"/>
      <c r="EL22" s="107"/>
      <c r="EM22" s="107"/>
      <c r="EN22" s="107"/>
      <c r="EO22" s="107"/>
      <c r="EP22" s="107"/>
      <c r="EQ22" s="107"/>
      <c r="ER22" s="107"/>
      <c r="ES22" s="107"/>
      <c r="ET22" s="107"/>
      <c r="EU22" s="107"/>
      <c r="EV22" s="107"/>
      <c r="EW22" s="107"/>
      <c r="EX22" s="107"/>
      <c r="EY22" s="107"/>
      <c r="EZ22" s="107"/>
      <c r="FA22" s="107"/>
      <c r="FB22" s="107"/>
      <c r="FC22" s="107"/>
      <c r="FD22" s="107"/>
      <c r="FE22" s="107"/>
      <c r="FF22" s="107"/>
      <c r="FG22" s="107"/>
      <c r="FH22" s="107"/>
      <c r="FI22" s="107"/>
      <c r="FJ22" s="107"/>
      <c r="FK22" s="107"/>
      <c r="FL22" s="107"/>
      <c r="FM22" s="107"/>
      <c r="FN22" s="107"/>
      <c r="FO22" s="107"/>
      <c r="FP22" s="107"/>
      <c r="FQ22" s="107"/>
      <c r="FR22" s="107"/>
      <c r="FS22" s="107"/>
      <c r="FT22" s="107"/>
      <c r="FU22" s="107"/>
    </row>
    <row r="23" spans="1:177">
      <c r="A23" s="109" t="s">
        <v>58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</row>
    <row r="24" spans="1:177" s="113" customFormat="1">
      <c r="A24" s="356" t="s">
        <v>3</v>
      </c>
      <c r="B24" s="359" t="s">
        <v>0</v>
      </c>
      <c r="C24" s="110"/>
      <c r="D24" s="350">
        <f>D3</f>
        <v>2012</v>
      </c>
      <c r="E24" s="351"/>
      <c r="F24" s="351"/>
      <c r="G24" s="351"/>
      <c r="H24" s="351"/>
      <c r="I24" s="351"/>
      <c r="J24" s="351"/>
      <c r="K24" s="351"/>
      <c r="L24" s="351"/>
      <c r="M24" s="351"/>
      <c r="N24" s="351"/>
      <c r="O24" s="351"/>
      <c r="P24" s="352"/>
      <c r="Q24" s="350">
        <f>Q3</f>
        <v>2013</v>
      </c>
      <c r="R24" s="351"/>
      <c r="S24" s="351"/>
      <c r="T24" s="351"/>
      <c r="U24" s="351"/>
      <c r="V24" s="351"/>
      <c r="W24" s="351"/>
      <c r="X24" s="351"/>
      <c r="Y24" s="351"/>
      <c r="Z24" s="351"/>
      <c r="AA24" s="351"/>
      <c r="AB24" s="351"/>
      <c r="AC24" s="352"/>
      <c r="AD24" s="111">
        <f>AD3</f>
        <v>2014</v>
      </c>
      <c r="AE24" s="111">
        <f>AE3</f>
        <v>2015</v>
      </c>
      <c r="AF24" s="111">
        <f>AF3</f>
        <v>2016</v>
      </c>
      <c r="AG24" s="111">
        <f>AG3</f>
        <v>2017</v>
      </c>
      <c r="AH24" s="111">
        <f>AH3</f>
        <v>2018</v>
      </c>
      <c r="AI24" s="112"/>
      <c r="AJ24" s="112"/>
      <c r="AK24" s="112"/>
      <c r="AL24" s="112"/>
      <c r="AM24" s="112"/>
      <c r="AN24" s="112"/>
      <c r="AO24" s="112"/>
      <c r="AP24" s="112"/>
      <c r="AQ24" s="112"/>
      <c r="AR24" s="112"/>
      <c r="AS24" s="112"/>
      <c r="AT24" s="112"/>
      <c r="AU24" s="112"/>
    </row>
    <row r="25" spans="1:177" s="113" customFormat="1" ht="19.5" customHeight="1">
      <c r="A25" s="357"/>
      <c r="B25" s="360"/>
      <c r="C25" s="114"/>
      <c r="D25" s="115">
        <f>D4</f>
        <v>1</v>
      </c>
      <c r="E25" s="115">
        <f t="shared" ref="E25:O25" si="14">E4</f>
        <v>2</v>
      </c>
      <c r="F25" s="115">
        <f t="shared" si="14"/>
        <v>3</v>
      </c>
      <c r="G25" s="115">
        <f t="shared" si="14"/>
        <v>4</v>
      </c>
      <c r="H25" s="115">
        <f t="shared" si="14"/>
        <v>5</v>
      </c>
      <c r="I25" s="115">
        <f t="shared" si="14"/>
        <v>6</v>
      </c>
      <c r="J25" s="115">
        <f t="shared" si="14"/>
        <v>7</v>
      </c>
      <c r="K25" s="115">
        <f t="shared" si="14"/>
        <v>8</v>
      </c>
      <c r="L25" s="115">
        <f t="shared" si="14"/>
        <v>9</v>
      </c>
      <c r="M25" s="115">
        <f t="shared" si="14"/>
        <v>10</v>
      </c>
      <c r="N25" s="115">
        <f t="shared" si="14"/>
        <v>11</v>
      </c>
      <c r="O25" s="115">
        <f t="shared" si="14"/>
        <v>12</v>
      </c>
      <c r="P25" s="116" t="s">
        <v>0</v>
      </c>
      <c r="Q25" s="115">
        <f>Q4</f>
        <v>1</v>
      </c>
      <c r="R25" s="115">
        <f t="shared" ref="R25:AB25" si="15">R4</f>
        <v>2</v>
      </c>
      <c r="S25" s="115">
        <f t="shared" si="15"/>
        <v>3</v>
      </c>
      <c r="T25" s="115">
        <f t="shared" si="15"/>
        <v>4</v>
      </c>
      <c r="U25" s="115">
        <f t="shared" si="15"/>
        <v>5</v>
      </c>
      <c r="V25" s="115">
        <f t="shared" si="15"/>
        <v>6</v>
      </c>
      <c r="W25" s="115">
        <f t="shared" si="15"/>
        <v>7</v>
      </c>
      <c r="X25" s="115">
        <f t="shared" si="15"/>
        <v>8</v>
      </c>
      <c r="Y25" s="115">
        <f t="shared" si="15"/>
        <v>9</v>
      </c>
      <c r="Z25" s="115">
        <f t="shared" si="15"/>
        <v>10</v>
      </c>
      <c r="AA25" s="115">
        <f t="shared" si="15"/>
        <v>11</v>
      </c>
      <c r="AB25" s="115">
        <f t="shared" si="15"/>
        <v>12</v>
      </c>
      <c r="AC25" s="116" t="s">
        <v>0</v>
      </c>
      <c r="AD25" s="116"/>
      <c r="AE25" s="116"/>
      <c r="AF25" s="116"/>
      <c r="AG25" s="116"/>
      <c r="AH25" s="116"/>
      <c r="AI25" s="112"/>
      <c r="AJ25" s="112"/>
      <c r="AK25" s="112"/>
      <c r="AL25" s="112"/>
      <c r="AM25" s="112"/>
      <c r="AN25" s="112"/>
      <c r="AO25" s="112"/>
      <c r="AP25" s="112"/>
      <c r="AQ25" s="112"/>
      <c r="AR25" s="112"/>
      <c r="AS25" s="112"/>
      <c r="AT25" s="112"/>
      <c r="AU25" s="112"/>
    </row>
    <row r="26" spans="1:177" s="113" customFormat="1">
      <c r="A26" s="117"/>
      <c r="B26" s="118"/>
      <c r="C26" s="118"/>
      <c r="D26" s="118"/>
      <c r="E26" s="118"/>
      <c r="F26" s="118"/>
      <c r="G26" s="118"/>
      <c r="H26" s="118"/>
      <c r="I26" s="118"/>
      <c r="J26" s="118"/>
      <c r="K26" s="118"/>
      <c r="L26" s="118"/>
      <c r="M26" s="118"/>
      <c r="N26" s="118"/>
      <c r="O26" s="118"/>
      <c r="P26" s="118"/>
      <c r="Q26" s="118"/>
      <c r="R26" s="118"/>
      <c r="S26" s="118"/>
      <c r="T26" s="118"/>
      <c r="U26" s="118"/>
      <c r="V26" s="118"/>
      <c r="W26" s="118"/>
      <c r="X26" s="118"/>
      <c r="Y26" s="118"/>
      <c r="Z26" s="118"/>
      <c r="AA26" s="118"/>
      <c r="AB26" s="118"/>
      <c r="AC26" s="118"/>
      <c r="AD26" s="118"/>
      <c r="AE26" s="118"/>
      <c r="AF26" s="118"/>
      <c r="AG26" s="118"/>
      <c r="AH26" s="118"/>
      <c r="AI26" s="112"/>
      <c r="AJ26" s="112"/>
      <c r="AK26" s="112"/>
      <c r="AL26" s="112"/>
      <c r="AM26" s="112"/>
      <c r="AN26" s="112"/>
      <c r="AO26" s="112"/>
      <c r="AP26" s="112"/>
      <c r="AQ26" s="112"/>
      <c r="AR26" s="112"/>
      <c r="AS26" s="112"/>
      <c r="AT26" s="112"/>
      <c r="AU26" s="112"/>
    </row>
    <row r="27" spans="1:177" s="113" customFormat="1">
      <c r="A27" s="117" t="s">
        <v>185</v>
      </c>
      <c r="B27" s="105">
        <f>P27+AC27+AD27+AE27+AF27+AG27+AH27</f>
        <v>22028.984748494819</v>
      </c>
      <c r="C27" s="119"/>
      <c r="D27" s="119">
        <f>D5*ндс</f>
        <v>0</v>
      </c>
      <c r="E27" s="119">
        <f>E5*ндс</f>
        <v>0</v>
      </c>
      <c r="F27" s="119">
        <f t="shared" ref="F27:O27" si="16">F5*ндс</f>
        <v>0</v>
      </c>
      <c r="G27" s="119">
        <f t="shared" si="16"/>
        <v>102.22642656370654</v>
      </c>
      <c r="H27" s="119">
        <f t="shared" si="16"/>
        <v>102.22642656370654</v>
      </c>
      <c r="I27" s="119">
        <f t="shared" si="16"/>
        <v>102.22642656370654</v>
      </c>
      <c r="J27" s="119">
        <f t="shared" si="16"/>
        <v>102.22642656370654</v>
      </c>
      <c r="K27" s="119">
        <f t="shared" si="16"/>
        <v>102.22642656370654</v>
      </c>
      <c r="L27" s="119">
        <f t="shared" si="16"/>
        <v>102.22642656370654</v>
      </c>
      <c r="M27" s="119">
        <f>M5*ндс</f>
        <v>102.22642656370654</v>
      </c>
      <c r="N27" s="119">
        <f t="shared" si="16"/>
        <v>102.22642656370654</v>
      </c>
      <c r="O27" s="119">
        <f t="shared" si="16"/>
        <v>102.22642656370654</v>
      </c>
      <c r="P27" s="120">
        <f>SUM(D27:O27)</f>
        <v>920.03783907335901</v>
      </c>
      <c r="Q27" s="119">
        <f t="shared" ref="Q27:AF27" si="17">Q5*ндс</f>
        <v>197.79562517374512</v>
      </c>
      <c r="R27" s="119">
        <f t="shared" si="17"/>
        <v>197.79562517374512</v>
      </c>
      <c r="S27" s="119">
        <f t="shared" si="17"/>
        <v>197.79562517374512</v>
      </c>
      <c r="T27" s="119">
        <f t="shared" si="17"/>
        <v>197.79562517374512</v>
      </c>
      <c r="U27" s="119">
        <f t="shared" si="17"/>
        <v>197.79562517374512</v>
      </c>
      <c r="V27" s="119">
        <f t="shared" si="17"/>
        <v>197.79562517374512</v>
      </c>
      <c r="W27" s="119">
        <f t="shared" si="17"/>
        <v>197.79562517374512</v>
      </c>
      <c r="X27" s="119">
        <f t="shared" si="17"/>
        <v>197.79562517374512</v>
      </c>
      <c r="Y27" s="119">
        <f t="shared" si="17"/>
        <v>197.79562517374512</v>
      </c>
      <c r="Z27" s="119">
        <f t="shared" si="17"/>
        <v>197.79562517374512</v>
      </c>
      <c r="AA27" s="119">
        <f t="shared" si="17"/>
        <v>197.79562517374512</v>
      </c>
      <c r="AB27" s="119">
        <f t="shared" si="17"/>
        <v>197.79562517374512</v>
      </c>
      <c r="AC27" s="120">
        <f>SUM(Q27:AB27)</f>
        <v>2373.5475020849412</v>
      </c>
      <c r="AD27" s="119">
        <f t="shared" si="17"/>
        <v>3973.0514897297285</v>
      </c>
      <c r="AE27" s="119">
        <f t="shared" si="17"/>
        <v>3517.7798985328182</v>
      </c>
      <c r="AF27" s="119">
        <f t="shared" si="17"/>
        <v>3061.0398771768332</v>
      </c>
      <c r="AG27" s="119">
        <f>AG5*ндс</f>
        <v>3775.5541813297291</v>
      </c>
      <c r="AH27" s="119">
        <f>AH5*ндс</f>
        <v>4407.9739605674122</v>
      </c>
      <c r="AI27" s="112"/>
      <c r="AJ27" s="112"/>
      <c r="AK27" s="112"/>
      <c r="AL27" s="112"/>
      <c r="AM27" s="112"/>
      <c r="AN27" s="112"/>
      <c r="AO27" s="112"/>
      <c r="AP27" s="112"/>
      <c r="AQ27" s="112"/>
      <c r="AR27" s="112"/>
      <c r="AS27" s="112"/>
      <c r="AT27" s="112"/>
      <c r="AU27" s="112"/>
    </row>
    <row r="28" spans="1:177" s="113" customFormat="1">
      <c r="A28" s="117" t="s">
        <v>186</v>
      </c>
      <c r="B28" s="105">
        <f>P28+AC28+AD28+AE28+AF28+AG28+AH28</f>
        <v>4002.192694681004</v>
      </c>
      <c r="C28" s="119"/>
      <c r="D28" s="119"/>
      <c r="E28" s="119"/>
      <c r="F28" s="119">
        <f>'1-Ф3'!F14/Исх!$C$18*ндс</f>
        <v>69.865297794642828</v>
      </c>
      <c r="G28" s="332">
        <f>(G10+G13-Пост!$D$6-Пост!$D$17-Пост!$D$20)*ндс+('1-Ф3'!G14/Исх!$C$18-'2-ф2'!G10)*ндс</f>
        <v>43.225876146428568</v>
      </c>
      <c r="H28" s="332">
        <f>(H10+H13-Пост!$D$6-Пост!$D$17-Пост!$D$20)*ндс+('1-Ф3'!H14/Исх!$C$18-'2-ф2'!H10)*ндс</f>
        <v>43.225876146428568</v>
      </c>
      <c r="I28" s="332">
        <f>(I10+I13-Пост!$D$6-Пост!$D$17-Пост!$D$20)*ндс+('1-Ф3'!I14/Исх!$C$18-'2-ф2'!I10)*ндс</f>
        <v>43.225876146428568</v>
      </c>
      <c r="J28" s="332">
        <f>(J10+J13-Пост!$D$6-Пост!$D$17-Пост!$D$20)*ндс+('1-Ф3'!J14/Исх!$C$18-'2-ф2'!J10)*ндс</f>
        <v>43.225876146428568</v>
      </c>
      <c r="K28" s="332">
        <f>(K10+K13-Пост!$D$6-Пост!$D$17-Пост!$D$20)*ндс+('1-Ф3'!K14/Исх!$C$18-'2-ф2'!K10)*ндс</f>
        <v>43.225876146428568</v>
      </c>
      <c r="L28" s="332">
        <f>(L10+L13-Пост!$D$6-Пост!$D$17-Пост!$D$20)*ндс+('1-Ф3'!L14/Исх!$C$18-'2-ф2'!L10)*ндс</f>
        <v>43.225876146428568</v>
      </c>
      <c r="M28" s="332">
        <f>(M10+M13-Пост!$D$6-Пост!$D$17-Пост!$D$20)*ндс+('1-Ф3'!M14/Исх!$C$18-'2-ф2'!M10)*ндс</f>
        <v>43.225876146428568</v>
      </c>
      <c r="N28" s="332">
        <f>(N10+N13-Пост!$D$6-Пост!$D$17-Пост!$D$20)*ндс+('1-Ф3'!N14/Исх!$C$18-'2-ф2'!N10)*ндс</f>
        <v>43.225876146428568</v>
      </c>
      <c r="O28" s="332">
        <f>(O10+O13-Пост!$D$6-Пост!$D$17-Пост!$D$20)*ндс+('1-Ф3'!O14/Исх!$C$18-'2-ф2'!O10)*ндс</f>
        <v>43.225876146428568</v>
      </c>
      <c r="P28" s="120">
        <f>SUM(D28:O28)</f>
        <v>458.89818311249991</v>
      </c>
      <c r="Q28" s="332">
        <f>(Q10+Q13-Пост!$D$6-Пост!$D$17-Пост!$D$20)*ндс+('1-Ф3'!Q14/Исх!$C$18-'2-ф2'!Q10)*ндс</f>
        <v>70.242860531250003</v>
      </c>
      <c r="R28" s="332">
        <f>(R10+R13-Пост!$D$6-Пост!$D$17-Пост!$D$20)*ндс+('1-Ф3'!R14/Исх!$C$18-'2-ф2'!R10)*ндс</f>
        <v>45.196073122767864</v>
      </c>
      <c r="S28" s="332">
        <f>(S10+S13-Пост!$D$6-Пост!$D$17-Пост!$D$20)*ндс+('1-Ф3'!S14/Исх!$C$18-'2-ф2'!S10)*ндс</f>
        <v>45.196073122767864</v>
      </c>
      <c r="T28" s="332">
        <f>(T10+T13-Пост!$D$6-Пост!$D$17-Пост!$D$20)*ндс+('1-Ф3'!T14/Исх!$C$18-'2-ф2'!T10)*ндс</f>
        <v>45.196073122767864</v>
      </c>
      <c r="U28" s="332">
        <f>(U10+U13-Пост!$D$6-Пост!$D$17-Пост!$D$20)*ндс+('1-Ф3'!U14/Исх!$C$18-'2-ф2'!U10)*ндс</f>
        <v>45.196073122767864</v>
      </c>
      <c r="V28" s="332">
        <f>(V10+V13-Пост!$D$6-Пост!$D$17-Пост!$D$20)*ндс+('1-Ф3'!V14/Исх!$C$18-'2-ф2'!V10)*ндс</f>
        <v>45.196073122767864</v>
      </c>
      <c r="W28" s="332">
        <f>(W10+W13-Пост!$D$6-Пост!$D$17-Пост!$D$20)*ндс+('1-Ф3'!W14/Исх!$C$18-'2-ф2'!W10)*ндс</f>
        <v>45.196073122767864</v>
      </c>
      <c r="X28" s="332">
        <f>(X10+X13-Пост!$D$6-Пост!$D$17-Пост!$D$20)*ндс+('1-Ф3'!X14/Исх!$C$18-'2-ф2'!X10)*ндс</f>
        <v>57.719466827008937</v>
      </c>
      <c r="Y28" s="332">
        <f>(Y10+Y13-Пост!$D$6-Пост!$D$17-Пост!$D$20)*ндс+('1-Ф3'!Y14/Исх!$C$18-'2-ф2'!Y10)*ндс</f>
        <v>45.196073122767864</v>
      </c>
      <c r="Z28" s="332">
        <f>(Z10+Z13-Пост!$D$6-Пост!$D$17-Пост!$D$20)*ндс+('1-Ф3'!Z14/Исх!$C$18-'2-ф2'!Z10)*ндс</f>
        <v>45.196073122767864</v>
      </c>
      <c r="AA28" s="332">
        <f>(AA10+AA13-Пост!$D$6-Пост!$D$17-Пост!$D$20)*ндс+('1-Ф3'!AA14/Исх!$C$18-'2-ф2'!AA10)*ндс</f>
        <v>45.196073122767864</v>
      </c>
      <c r="AB28" s="332">
        <f>(AB10+AB13-Пост!$D$6-Пост!$D$17-Пост!$D$20)*ндс+('1-Ф3'!AB14/Исх!$C$18-'2-ф2'!AB10)*ндс</f>
        <v>45.196073122767864</v>
      </c>
      <c r="AC28" s="120">
        <f>SUM(Q28:AB28)</f>
        <v>579.92305858593761</v>
      </c>
      <c r="AD28" s="119">
        <f>(AD10+AD13-(Пост!E6+Пост!E17+Пост!E20)*12)*ндс+('1-Ф3'!AD14/Исх!$C$18-'2-ф2'!AD10)*ндс</f>
        <v>557.26278015066987</v>
      </c>
      <c r="AE28" s="119">
        <f>(AE10+AE13-(Пост!F6+Пост!F17+Пост!F20)*12)*ндс+('1-Ф3'!AE14/Исх!$C$18-'2-ф2'!AE10)*ндс</f>
        <v>581.54696382857105</v>
      </c>
      <c r="AF28" s="119">
        <f>(AF10+AF13-(Пост!G6+Пост!G17+Пост!G20)*12)*ндс+('1-Ф3'!AF14/Исх!$C$18-'2-ф2'!AF10)*ндс</f>
        <v>598.89613113683026</v>
      </c>
      <c r="AG28" s="119">
        <f>(AG10+AG13-(Пост!H6+Пост!H17+Пост!H20)*12)*ндс+('1-Ф3'!AG14/Исх!$C$18-'2-ф2'!AG10)*ндс</f>
        <v>610.42788589305803</v>
      </c>
      <c r="AH28" s="119">
        <f>(AH10+AH13-(Пост!I6+Пост!I17+Пост!I20)*12)*ндс+('1-Ф3'!AH14/Исх!$C$18-'2-ф2'!AH10)*ндс</f>
        <v>615.23769197343756</v>
      </c>
      <c r="AI28" s="112"/>
      <c r="AJ28" s="112"/>
      <c r="AK28" s="112"/>
      <c r="AL28" s="112"/>
      <c r="AM28" s="112"/>
      <c r="AN28" s="112"/>
      <c r="AO28" s="112"/>
      <c r="AP28" s="112"/>
      <c r="AQ28" s="112"/>
      <c r="AR28" s="112"/>
      <c r="AS28" s="112"/>
      <c r="AT28" s="112"/>
      <c r="AU28" s="112"/>
    </row>
    <row r="29" spans="1:177" s="113" customFormat="1">
      <c r="A29" s="117" t="s">
        <v>187</v>
      </c>
      <c r="B29" s="105">
        <f>P29+AC29+AD29+AE29+AF29+AG29+AH29</f>
        <v>8870.2445142857141</v>
      </c>
      <c r="C29" s="119"/>
      <c r="D29" s="119">
        <f>Инв!E19/Исх!$C$18*ндс</f>
        <v>600.70045714285709</v>
      </c>
      <c r="E29" s="119">
        <f>Инв!F19/Исх!$C$18*ндс</f>
        <v>1371.9634628571428</v>
      </c>
      <c r="F29" s="119">
        <f>Инв!G19/Исх!$C$18*ндс</f>
        <v>6897.5805942857132</v>
      </c>
      <c r="G29" s="119">
        <f>Инв!H19/Исх!$C$18*ндс</f>
        <v>0</v>
      </c>
      <c r="H29" s="119">
        <f>Инв!I19/Исх!$C$18*ндс</f>
        <v>0</v>
      </c>
      <c r="I29" s="119">
        <f>Инв!J19/Исх!$C$18*ндс</f>
        <v>0</v>
      </c>
      <c r="J29" s="119">
        <f>Инв!K19/Исх!$C$18*ндс</f>
        <v>0</v>
      </c>
      <c r="K29" s="119">
        <f>Инв!L19/Исх!$C$18*ндс</f>
        <v>0</v>
      </c>
      <c r="L29" s="119">
        <f>Инв!M19/Исх!$C$18*ндс</f>
        <v>0</v>
      </c>
      <c r="M29" s="119">
        <f>Инв!N19/Исх!$C$18*ндс</f>
        <v>0</v>
      </c>
      <c r="N29" s="119">
        <f>Инв!O19/Исх!$C$18*ндс</f>
        <v>0</v>
      </c>
      <c r="O29" s="119">
        <f>Инв!P19/Исх!$C$18*ндс</f>
        <v>0</v>
      </c>
      <c r="P29" s="120">
        <f>SUM(D29:O29)</f>
        <v>8870.2445142857141</v>
      </c>
      <c r="Q29" s="119"/>
      <c r="R29" s="119"/>
      <c r="S29" s="119"/>
      <c r="T29" s="119"/>
      <c r="U29" s="119"/>
      <c r="V29" s="119"/>
      <c r="W29" s="119"/>
      <c r="X29" s="119"/>
      <c r="Y29" s="119"/>
      <c r="Z29" s="119"/>
      <c r="AA29" s="119"/>
      <c r="AB29" s="119"/>
      <c r="AC29" s="120"/>
      <c r="AD29" s="120"/>
      <c r="AE29" s="120"/>
      <c r="AF29" s="120"/>
      <c r="AG29" s="120"/>
      <c r="AH29" s="120"/>
      <c r="AI29" s="112"/>
      <c r="AJ29" s="112"/>
      <c r="AK29" s="112"/>
      <c r="AL29" s="112"/>
      <c r="AM29" s="112"/>
      <c r="AN29" s="112"/>
      <c r="AO29" s="112"/>
      <c r="AP29" s="112"/>
      <c r="AQ29" s="112"/>
      <c r="AR29" s="112"/>
      <c r="AS29" s="112"/>
      <c r="AT29" s="112"/>
      <c r="AU29" s="112"/>
    </row>
    <row r="30" spans="1:177" s="113" customFormat="1">
      <c r="A30" s="117" t="s">
        <v>33</v>
      </c>
      <c r="B30" s="105">
        <f>P30+AC30+AD30+AE30+AF30+AG30+AH30</f>
        <v>9156.5475395281101</v>
      </c>
      <c r="C30" s="119"/>
      <c r="D30" s="119">
        <f>D27-D28-D29</f>
        <v>-600.70045714285709</v>
      </c>
      <c r="E30" s="119">
        <f t="shared" ref="E30:O30" si="18">E27-E28-E29</f>
        <v>-1371.9634628571428</v>
      </c>
      <c r="F30" s="119">
        <f t="shared" si="18"/>
        <v>-6967.4458920803563</v>
      </c>
      <c r="G30" s="119">
        <f t="shared" si="18"/>
        <v>59.000550417277971</v>
      </c>
      <c r="H30" s="119">
        <f t="shared" si="18"/>
        <v>59.000550417277971</v>
      </c>
      <c r="I30" s="119">
        <f t="shared" si="18"/>
        <v>59.000550417277971</v>
      </c>
      <c r="J30" s="119">
        <f t="shared" si="18"/>
        <v>59.000550417277971</v>
      </c>
      <c r="K30" s="119">
        <f t="shared" si="18"/>
        <v>59.000550417277971</v>
      </c>
      <c r="L30" s="119">
        <f t="shared" si="18"/>
        <v>59.000550417277971</v>
      </c>
      <c r="M30" s="119">
        <f t="shared" si="18"/>
        <v>59.000550417277971</v>
      </c>
      <c r="N30" s="119">
        <f t="shared" si="18"/>
        <v>59.000550417277971</v>
      </c>
      <c r="O30" s="119">
        <f t="shared" si="18"/>
        <v>59.000550417277971</v>
      </c>
      <c r="P30" s="120">
        <f>SUM(D30:O30)</f>
        <v>-8409.1048583248485</v>
      </c>
      <c r="Q30" s="119">
        <f t="shared" ref="Q30:AB30" si="19">Q27-Q28-Q29</f>
        <v>127.55276464249512</v>
      </c>
      <c r="R30" s="119">
        <f t="shared" si="19"/>
        <v>152.59955205097725</v>
      </c>
      <c r="S30" s="119">
        <f t="shared" si="19"/>
        <v>152.59955205097725</v>
      </c>
      <c r="T30" s="119">
        <f t="shared" si="19"/>
        <v>152.59955205097725</v>
      </c>
      <c r="U30" s="119">
        <f t="shared" si="19"/>
        <v>152.59955205097725</v>
      </c>
      <c r="V30" s="119">
        <f t="shared" si="19"/>
        <v>152.59955205097725</v>
      </c>
      <c r="W30" s="119">
        <f t="shared" si="19"/>
        <v>152.59955205097725</v>
      </c>
      <c r="X30" s="119">
        <f t="shared" si="19"/>
        <v>140.07615834673618</v>
      </c>
      <c r="Y30" s="119">
        <f t="shared" si="19"/>
        <v>152.59955205097725</v>
      </c>
      <c r="Z30" s="119">
        <f t="shared" si="19"/>
        <v>152.59955205097725</v>
      </c>
      <c r="AA30" s="119">
        <f t="shared" si="19"/>
        <v>152.59955205097725</v>
      </c>
      <c r="AB30" s="119">
        <f t="shared" si="19"/>
        <v>152.59955205097725</v>
      </c>
      <c r="AC30" s="120">
        <f>SUM(Q30:AB30)</f>
        <v>1793.624443499004</v>
      </c>
      <c r="AD30" s="119">
        <f>AD27-AD28-AD29</f>
        <v>3415.7887095790584</v>
      </c>
      <c r="AE30" s="119">
        <f>AE27-AE28-AE29</f>
        <v>2936.2329347042469</v>
      </c>
      <c r="AF30" s="119">
        <f>AF27-AF28-AF29</f>
        <v>2462.143746040003</v>
      </c>
      <c r="AG30" s="119">
        <f>AG27-AG28-AG29</f>
        <v>3165.1262954366712</v>
      </c>
      <c r="AH30" s="119">
        <f>AH27-AH28-AH29</f>
        <v>3792.7362685939747</v>
      </c>
      <c r="AI30" s="112"/>
      <c r="AJ30" s="112"/>
      <c r="AK30" s="112"/>
      <c r="AL30" s="112"/>
      <c r="AM30" s="112"/>
      <c r="AN30" s="112"/>
      <c r="AO30" s="112"/>
      <c r="AP30" s="112"/>
      <c r="AQ30" s="112"/>
      <c r="AR30" s="112"/>
      <c r="AS30" s="112"/>
      <c r="AT30" s="112"/>
      <c r="AU30" s="112"/>
    </row>
    <row r="31" spans="1:177" s="113" customFormat="1">
      <c r="A31" s="117" t="s">
        <v>188</v>
      </c>
      <c r="B31" s="105">
        <f>AH31</f>
        <v>9156.5475395281046</v>
      </c>
      <c r="C31" s="119"/>
      <c r="D31" s="119">
        <f>D30</f>
        <v>-600.70045714285709</v>
      </c>
      <c r="E31" s="119">
        <f>D31+E30</f>
        <v>-1972.66392</v>
      </c>
      <c r="F31" s="119">
        <f t="shared" ref="F31:O31" si="20">E31+F30</f>
        <v>-8940.1098120803563</v>
      </c>
      <c r="G31" s="119">
        <f t="shared" si="20"/>
        <v>-8881.1092616630776</v>
      </c>
      <c r="H31" s="119">
        <f t="shared" si="20"/>
        <v>-8822.108711245799</v>
      </c>
      <c r="I31" s="119">
        <f t="shared" si="20"/>
        <v>-8763.1081608285203</v>
      </c>
      <c r="J31" s="119">
        <f t="shared" si="20"/>
        <v>-8704.1076104112417</v>
      </c>
      <c r="K31" s="119">
        <f t="shared" si="20"/>
        <v>-8645.107059993963</v>
      </c>
      <c r="L31" s="119">
        <f t="shared" si="20"/>
        <v>-8586.1065095766844</v>
      </c>
      <c r="M31" s="119">
        <f t="shared" si="20"/>
        <v>-8527.1059591594058</v>
      </c>
      <c r="N31" s="119">
        <f t="shared" si="20"/>
        <v>-8468.1054087421271</v>
      </c>
      <c r="O31" s="119">
        <f t="shared" si="20"/>
        <v>-8409.1048583248485</v>
      </c>
      <c r="P31" s="120">
        <f>O31</f>
        <v>-8409.1048583248485</v>
      </c>
      <c r="Q31" s="119">
        <f t="shared" ref="Q31:AB31" si="21">P31+Q30</f>
        <v>-8281.5520936823541</v>
      </c>
      <c r="R31" s="119">
        <f t="shared" si="21"/>
        <v>-8128.9525416313772</v>
      </c>
      <c r="S31" s="119">
        <f t="shared" si="21"/>
        <v>-7976.3529895804004</v>
      </c>
      <c r="T31" s="119">
        <f t="shared" si="21"/>
        <v>-7823.7534375294235</v>
      </c>
      <c r="U31" s="119">
        <f t="shared" si="21"/>
        <v>-7671.1538854784467</v>
      </c>
      <c r="V31" s="119">
        <f t="shared" si="21"/>
        <v>-7518.5543334274698</v>
      </c>
      <c r="W31" s="119">
        <f t="shared" si="21"/>
        <v>-7365.954781376493</v>
      </c>
      <c r="X31" s="119">
        <f t="shared" si="21"/>
        <v>-7225.8786230297565</v>
      </c>
      <c r="Y31" s="119">
        <f t="shared" si="21"/>
        <v>-7073.2790709787796</v>
      </c>
      <c r="Z31" s="119">
        <f t="shared" si="21"/>
        <v>-6920.6795189278027</v>
      </c>
      <c r="AA31" s="119">
        <f t="shared" si="21"/>
        <v>-6768.0799668768259</v>
      </c>
      <c r="AB31" s="119">
        <f t="shared" si="21"/>
        <v>-6615.480414825849</v>
      </c>
      <c r="AC31" s="120">
        <f>AB31</f>
        <v>-6615.480414825849</v>
      </c>
      <c r="AD31" s="119">
        <f>AC31+AD30</f>
        <v>-3199.6917052467907</v>
      </c>
      <c r="AE31" s="119">
        <f>AD31+AE30</f>
        <v>-263.45877054254379</v>
      </c>
      <c r="AF31" s="119">
        <f>AE31+AF30</f>
        <v>2198.6849754974592</v>
      </c>
      <c r="AG31" s="119">
        <f>AF31+AG30</f>
        <v>5363.8112709341303</v>
      </c>
      <c r="AH31" s="119">
        <f>AG31+AH30</f>
        <v>9156.5475395281046</v>
      </c>
      <c r="AI31" s="112"/>
      <c r="AJ31" s="112"/>
      <c r="AK31" s="112"/>
      <c r="AL31" s="112"/>
      <c r="AM31" s="112"/>
      <c r="AN31" s="112"/>
      <c r="AO31" s="112"/>
      <c r="AP31" s="112"/>
      <c r="AQ31" s="112"/>
      <c r="AR31" s="112"/>
      <c r="AS31" s="112"/>
      <c r="AT31" s="112"/>
      <c r="AU31" s="112"/>
    </row>
    <row r="32" spans="1:177" s="113" customFormat="1">
      <c r="A32" s="117" t="s">
        <v>189</v>
      </c>
      <c r="B32" s="105">
        <f>P32+AC32+AD32+AE32+AF32+AG32+AH32</f>
        <v>2746.9642618584312</v>
      </c>
      <c r="C32" s="119"/>
      <c r="D32" s="119">
        <f>IF(C31+D30&gt;=0,IF(C31&lt;0,C31+D30,D30),0)</f>
        <v>0</v>
      </c>
      <c r="E32" s="119">
        <f t="shared" ref="E32:AD32" si="22">IF(D31+E30&gt;=0,IF(D31&lt;0,D31+E30,E30),0)</f>
        <v>0</v>
      </c>
      <c r="F32" s="119">
        <f t="shared" si="22"/>
        <v>0</v>
      </c>
      <c r="G32" s="119">
        <f t="shared" si="22"/>
        <v>0</v>
      </c>
      <c r="H32" s="119">
        <f t="shared" si="22"/>
        <v>0</v>
      </c>
      <c r="I32" s="119">
        <f t="shared" si="22"/>
        <v>0</v>
      </c>
      <c r="J32" s="119">
        <f t="shared" si="22"/>
        <v>0</v>
      </c>
      <c r="K32" s="119">
        <f t="shared" si="22"/>
        <v>0</v>
      </c>
      <c r="L32" s="119">
        <f t="shared" si="22"/>
        <v>0</v>
      </c>
      <c r="M32" s="119">
        <f t="shared" si="22"/>
        <v>0</v>
      </c>
      <c r="N32" s="119">
        <f t="shared" si="22"/>
        <v>0</v>
      </c>
      <c r="O32" s="119">
        <f t="shared" si="22"/>
        <v>0</v>
      </c>
      <c r="P32" s="120">
        <f>SUM(D32:O32)</f>
        <v>0</v>
      </c>
      <c r="Q32" s="119">
        <f t="shared" si="22"/>
        <v>0</v>
      </c>
      <c r="R32" s="119">
        <f t="shared" si="22"/>
        <v>0</v>
      </c>
      <c r="S32" s="119">
        <f t="shared" si="22"/>
        <v>0</v>
      </c>
      <c r="T32" s="119">
        <f t="shared" si="22"/>
        <v>0</v>
      </c>
      <c r="U32" s="119">
        <f t="shared" si="22"/>
        <v>0</v>
      </c>
      <c r="V32" s="119">
        <f t="shared" si="22"/>
        <v>0</v>
      </c>
      <c r="W32" s="119">
        <f t="shared" si="22"/>
        <v>0</v>
      </c>
      <c r="X32" s="119">
        <f t="shared" si="22"/>
        <v>0</v>
      </c>
      <c r="Y32" s="119">
        <f t="shared" si="22"/>
        <v>0</v>
      </c>
      <c r="Z32" s="119">
        <f t="shared" si="22"/>
        <v>0</v>
      </c>
      <c r="AA32" s="119">
        <f t="shared" si="22"/>
        <v>0</v>
      </c>
      <c r="AB32" s="119">
        <f t="shared" si="22"/>
        <v>0</v>
      </c>
      <c r="AC32" s="120">
        <f>SUM(Q32:AB32)</f>
        <v>0</v>
      </c>
      <c r="AD32" s="119">
        <f t="shared" si="22"/>
        <v>0</v>
      </c>
      <c r="AE32" s="119">
        <f>IF(AD31+AE30&gt;=0,IF(AD31&lt;0,(AD31+AE30)*0.3,AE30*0.3),0)</f>
        <v>0</v>
      </c>
      <c r="AF32" s="119">
        <f t="shared" ref="AF32:AH32" si="23">IF(AE31+AF30&gt;=0,IF(AE31&lt;0,(AE31+AF30)*0.3,AF30*0.3),0)</f>
        <v>659.6054926492377</v>
      </c>
      <c r="AG32" s="119">
        <f t="shared" si="23"/>
        <v>949.53788863100135</v>
      </c>
      <c r="AH32" s="119">
        <f t="shared" si="23"/>
        <v>1137.8208805781924</v>
      </c>
      <c r="AI32" s="112"/>
      <c r="AJ32" s="112"/>
      <c r="AK32" s="112"/>
      <c r="AL32" s="112"/>
      <c r="AM32" s="112"/>
      <c r="AN32" s="112"/>
      <c r="AO32" s="112"/>
      <c r="AP32" s="112"/>
      <c r="AQ32" s="112"/>
      <c r="AR32" s="112"/>
      <c r="AS32" s="112"/>
      <c r="AT32" s="112"/>
      <c r="AU32" s="112"/>
    </row>
    <row r="34" spans="2:34">
      <c r="B34" s="121"/>
      <c r="AE34" s="344"/>
      <c r="AF34" s="344">
        <f>AF30-AF32+AE31</f>
        <v>1539.0794828482215</v>
      </c>
      <c r="AG34" s="344">
        <f t="shared" ref="AG34:AH34" si="24">AG30-AG32</f>
        <v>2215.5884068056698</v>
      </c>
      <c r="AH34" s="344">
        <f t="shared" si="24"/>
        <v>2654.9153880157824</v>
      </c>
    </row>
    <row r="35" spans="2:34">
      <c r="AE35" s="344">
        <f>AD35+AE34</f>
        <v>0</v>
      </c>
      <c r="AF35" s="344">
        <f t="shared" ref="AF35:AH35" si="25">AE35+AF34</f>
        <v>1539.0794828482215</v>
      </c>
      <c r="AG35" s="344">
        <f t="shared" si="25"/>
        <v>3754.6678896538915</v>
      </c>
      <c r="AH35" s="344">
        <f t="shared" si="25"/>
        <v>6409.5832776696734</v>
      </c>
    </row>
  </sheetData>
  <mergeCells count="8">
    <mergeCell ref="Q24:AC24"/>
    <mergeCell ref="Q3:AC3"/>
    <mergeCell ref="A3:A4"/>
    <mergeCell ref="A24:A25"/>
    <mergeCell ref="B3:B4"/>
    <mergeCell ref="D24:P24"/>
    <mergeCell ref="B24:B25"/>
    <mergeCell ref="D3:P3"/>
  </mergeCells>
  <phoneticPr fontId="2" type="noConversion"/>
  <pageMargins left="0.35433070866141736" right="0.23622047244094491" top="0.74803149606299213" bottom="0.23622047244094491" header="0.47244094488188981" footer="0.15748031496062992"/>
  <pageSetup paperSize="9" orientation="landscape" r:id="rId1"/>
  <headerFooter alignWithMargins="0">
    <oddHeader>&amp;RПриложение 2</oddHeader>
  </headerFooter>
  <picture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outlinePr summaryBelow="0"/>
  </sheetPr>
  <dimension ref="A1:GA40"/>
  <sheetViews>
    <sheetView showGridLines="0" showZeros="0" zoomScaleNormal="100" workbookViewId="0">
      <pane xSplit="3" ySplit="4" topLeftCell="D5" activePane="bottomRight" state="frozen"/>
      <selection activeCell="G35" sqref="G35"/>
      <selection pane="topRight" activeCell="G35" sqref="G35"/>
      <selection pane="bottomLeft" activeCell="G35" sqref="G35"/>
      <selection pane="bottomRight" activeCell="AF11" sqref="AF11"/>
    </sheetView>
  </sheetViews>
  <sheetFormatPr defaultColWidth="10.140625" defaultRowHeight="12.75" outlineLevelCol="1"/>
  <cols>
    <col min="1" max="1" width="38.140625" style="123" customWidth="1"/>
    <col min="2" max="2" width="2.42578125" style="123" customWidth="1"/>
    <col min="3" max="3" width="7.140625" style="123" customWidth="1"/>
    <col min="4" max="4" width="11.42578125" style="123" hidden="1" customWidth="1" outlineLevel="1"/>
    <col min="5" max="11" width="7.42578125" style="123" hidden="1" customWidth="1" outlineLevel="1"/>
    <col min="12" max="12" width="8" style="123" hidden="1" customWidth="1" outlineLevel="1"/>
    <col min="13" max="13" width="7.85546875" style="123" hidden="1" customWidth="1" outlineLevel="1"/>
    <col min="14" max="15" width="8.140625" style="123" hidden="1" customWidth="1" outlineLevel="1"/>
    <col min="16" max="16" width="9.85546875" style="123" customWidth="1" collapsed="1"/>
    <col min="17" max="23" width="8.42578125" style="123" hidden="1" customWidth="1" outlineLevel="1"/>
    <col min="24" max="25" width="8.7109375" style="123" hidden="1" customWidth="1" outlineLevel="1"/>
    <col min="26" max="26" width="8.5703125" style="123" hidden="1" customWidth="1" outlineLevel="1"/>
    <col min="27" max="27" width="9" style="123" hidden="1" customWidth="1" outlineLevel="1"/>
    <col min="28" max="28" width="9.140625" style="123" hidden="1" customWidth="1" outlineLevel="1"/>
    <col min="29" max="29" width="10.140625" style="123" customWidth="1" collapsed="1"/>
    <col min="30" max="30" width="9.85546875" style="123" customWidth="1"/>
    <col min="31" max="31" width="9.7109375" style="123" customWidth="1"/>
    <col min="32" max="32" width="9.5703125" style="123" customWidth="1"/>
    <col min="33" max="34" width="9.7109375" style="123" customWidth="1"/>
    <col min="35" max="16384" width="10.140625" style="123"/>
  </cols>
  <sheetData>
    <row r="1" spans="1:183">
      <c r="A1" s="62" t="s">
        <v>133</v>
      </c>
      <c r="B1" s="122"/>
      <c r="C1" s="122"/>
    </row>
    <row r="2" spans="1:183" ht="17.25" customHeight="1">
      <c r="A2" s="62"/>
      <c r="C2" s="12" t="str">
        <f>Исх!$C$9</f>
        <v>тыс.тг.</v>
      </c>
      <c r="P2" s="124"/>
      <c r="AC2" s="124"/>
      <c r="AD2" s="124"/>
      <c r="AE2" s="124"/>
      <c r="AF2" s="124"/>
      <c r="AG2" s="124"/>
      <c r="AH2" s="124"/>
    </row>
    <row r="3" spans="1:183" ht="12.75" customHeight="1">
      <c r="A3" s="361" t="s">
        <v>3</v>
      </c>
      <c r="B3" s="363"/>
      <c r="C3" s="126"/>
      <c r="D3" s="364">
        <v>2012</v>
      </c>
      <c r="E3" s="364"/>
      <c r="F3" s="364"/>
      <c r="G3" s="364"/>
      <c r="H3" s="364"/>
      <c r="I3" s="364"/>
      <c r="J3" s="364"/>
      <c r="K3" s="364"/>
      <c r="L3" s="364"/>
      <c r="M3" s="364"/>
      <c r="N3" s="364"/>
      <c r="O3" s="364"/>
      <c r="P3" s="364"/>
      <c r="Q3" s="364">
        <v>2013</v>
      </c>
      <c r="R3" s="364"/>
      <c r="S3" s="364"/>
      <c r="T3" s="364"/>
      <c r="U3" s="364"/>
      <c r="V3" s="364"/>
      <c r="W3" s="364"/>
      <c r="X3" s="364"/>
      <c r="Y3" s="364"/>
      <c r="Z3" s="364"/>
      <c r="AA3" s="364"/>
      <c r="AB3" s="364"/>
      <c r="AC3" s="364"/>
      <c r="AD3" s="127">
        <f>Q3+1</f>
        <v>2014</v>
      </c>
      <c r="AE3" s="127">
        <f>AD3+1</f>
        <v>2015</v>
      </c>
      <c r="AF3" s="127">
        <f>AE3+1</f>
        <v>2016</v>
      </c>
      <c r="AG3" s="127">
        <f>AF3+1</f>
        <v>2017</v>
      </c>
      <c r="AH3" s="127">
        <f>AG3+1</f>
        <v>2018</v>
      </c>
    </row>
    <row r="4" spans="1:183">
      <c r="A4" s="362"/>
      <c r="B4" s="363"/>
      <c r="C4" s="128"/>
      <c r="D4" s="129">
        <v>1</v>
      </c>
      <c r="E4" s="129">
        <f>D4+1</f>
        <v>2</v>
      </c>
      <c r="F4" s="129">
        <f t="shared" ref="F4:O4" si="0">E4+1</f>
        <v>3</v>
      </c>
      <c r="G4" s="129">
        <f t="shared" si="0"/>
        <v>4</v>
      </c>
      <c r="H4" s="129">
        <f t="shared" si="0"/>
        <v>5</v>
      </c>
      <c r="I4" s="129">
        <f t="shared" si="0"/>
        <v>6</v>
      </c>
      <c r="J4" s="129">
        <f t="shared" si="0"/>
        <v>7</v>
      </c>
      <c r="K4" s="129">
        <f t="shared" si="0"/>
        <v>8</v>
      </c>
      <c r="L4" s="129">
        <f t="shared" si="0"/>
        <v>9</v>
      </c>
      <c r="M4" s="129">
        <f t="shared" si="0"/>
        <v>10</v>
      </c>
      <c r="N4" s="129">
        <f t="shared" si="0"/>
        <v>11</v>
      </c>
      <c r="O4" s="129">
        <f t="shared" si="0"/>
        <v>12</v>
      </c>
      <c r="P4" s="125" t="s">
        <v>0</v>
      </c>
      <c r="Q4" s="129">
        <v>1</v>
      </c>
      <c r="R4" s="129">
        <f t="shared" ref="R4:AB4" si="1">Q4+1</f>
        <v>2</v>
      </c>
      <c r="S4" s="129">
        <f t="shared" si="1"/>
        <v>3</v>
      </c>
      <c r="T4" s="129">
        <f t="shared" si="1"/>
        <v>4</v>
      </c>
      <c r="U4" s="129">
        <f t="shared" si="1"/>
        <v>5</v>
      </c>
      <c r="V4" s="129">
        <f t="shared" si="1"/>
        <v>6</v>
      </c>
      <c r="W4" s="129">
        <f t="shared" si="1"/>
        <v>7</v>
      </c>
      <c r="X4" s="129">
        <f t="shared" si="1"/>
        <v>8</v>
      </c>
      <c r="Y4" s="129">
        <f t="shared" si="1"/>
        <v>9</v>
      </c>
      <c r="Z4" s="129">
        <f t="shared" si="1"/>
        <v>10</v>
      </c>
      <c r="AA4" s="129">
        <f t="shared" si="1"/>
        <v>11</v>
      </c>
      <c r="AB4" s="129">
        <f t="shared" si="1"/>
        <v>12</v>
      </c>
      <c r="AC4" s="125" t="s">
        <v>0</v>
      </c>
      <c r="AD4" s="125"/>
      <c r="AE4" s="125"/>
      <c r="AF4" s="125"/>
      <c r="AG4" s="125"/>
      <c r="AH4" s="125"/>
    </row>
    <row r="5" spans="1:183" s="134" customFormat="1" ht="15" customHeight="1">
      <c r="A5" s="130" t="s">
        <v>134</v>
      </c>
      <c r="B5" s="131"/>
      <c r="C5" s="132">
        <f>C11+C6</f>
        <v>0</v>
      </c>
      <c r="D5" s="132">
        <f>D11+D6</f>
        <v>5606.5375999999997</v>
      </c>
      <c r="E5" s="132">
        <f t="shared" ref="E5:AH5" si="2">E11+E6</f>
        <v>18411.529920000001</v>
      </c>
      <c r="F5" s="132">
        <f t="shared" si="2"/>
        <v>83441.024912749985</v>
      </c>
      <c r="G5" s="132">
        <f t="shared" si="2"/>
        <v>83091.98882066604</v>
      </c>
      <c r="H5" s="132">
        <f t="shared" si="2"/>
        <v>82742.952728582095</v>
      </c>
      <c r="I5" s="132">
        <f t="shared" si="2"/>
        <v>101971.85004982934</v>
      </c>
      <c r="J5" s="132">
        <f t="shared" si="2"/>
        <v>101200.74737107659</v>
      </c>
      <c r="K5" s="132">
        <f t="shared" si="2"/>
        <v>100429.64469232384</v>
      </c>
      <c r="L5" s="132">
        <f t="shared" si="2"/>
        <v>99658.542013571088</v>
      </c>
      <c r="M5" s="132">
        <f t="shared" si="2"/>
        <v>97442.224742028367</v>
      </c>
      <c r="N5" s="132">
        <f t="shared" si="2"/>
        <v>95231.772109412879</v>
      </c>
      <c r="O5" s="132">
        <f t="shared" si="2"/>
        <v>93027.184115724682</v>
      </c>
      <c r="P5" s="132">
        <f t="shared" si="2"/>
        <v>93027.184115724682</v>
      </c>
      <c r="Q5" s="132">
        <f t="shared" si="2"/>
        <v>91577.896978041521</v>
      </c>
      <c r="R5" s="132">
        <f t="shared" si="2"/>
        <v>90134.474479285622</v>
      </c>
      <c r="S5" s="132">
        <f t="shared" si="2"/>
        <v>88696.91661945697</v>
      </c>
      <c r="T5" s="132">
        <f t="shared" si="2"/>
        <v>87265.223398555594</v>
      </c>
      <c r="U5" s="132">
        <f t="shared" si="2"/>
        <v>85839.39481658148</v>
      </c>
      <c r="V5" s="132">
        <f t="shared" si="2"/>
        <v>84419.430873534642</v>
      </c>
      <c r="W5" s="132">
        <f t="shared" si="2"/>
        <v>83005.331569415051</v>
      </c>
      <c r="X5" s="132">
        <f t="shared" si="2"/>
        <v>81597.096904222723</v>
      </c>
      <c r="Y5" s="132">
        <f t="shared" si="2"/>
        <v>80194.72687795767</v>
      </c>
      <c r="Z5" s="132">
        <f t="shared" si="2"/>
        <v>78798.221490619879</v>
      </c>
      <c r="AA5" s="132">
        <f t="shared" si="2"/>
        <v>77407.580742209349</v>
      </c>
      <c r="AB5" s="132">
        <f t="shared" si="2"/>
        <v>76022.804632726082</v>
      </c>
      <c r="AC5" s="132">
        <f t="shared" si="2"/>
        <v>76022.804632726082</v>
      </c>
      <c r="AD5" s="132">
        <f t="shared" si="2"/>
        <v>73188.628952184634</v>
      </c>
      <c r="AE5" s="132">
        <f t="shared" si="2"/>
        <v>67166.158700203217</v>
      </c>
      <c r="AF5" s="132">
        <f t="shared" si="2"/>
        <v>58898.757539235674</v>
      </c>
      <c r="AG5" s="132">
        <f t="shared" si="2"/>
        <v>57170.418571168775</v>
      </c>
      <c r="AH5" s="132">
        <f t="shared" si="2"/>
        <v>61591.369647220439</v>
      </c>
      <c r="AI5" s="133"/>
      <c r="AJ5" s="133"/>
      <c r="AK5" s="133"/>
      <c r="AL5" s="133"/>
      <c r="AM5" s="133"/>
      <c r="AN5" s="133"/>
      <c r="AO5" s="133"/>
    </row>
    <row r="6" spans="1:183" s="134" customFormat="1" ht="15" customHeight="1">
      <c r="A6" s="130" t="s">
        <v>135</v>
      </c>
      <c r="B6" s="131"/>
      <c r="C6" s="132">
        <f>SUM(C7:C10)</f>
        <v>0</v>
      </c>
      <c r="D6" s="132">
        <f>SUM(D7:D10)</f>
        <v>0</v>
      </c>
      <c r="E6" s="132">
        <f t="shared" ref="E6:AH6" si="3">SUM(E7:E10)</f>
        <v>0</v>
      </c>
      <c r="F6" s="132">
        <f t="shared" si="3"/>
        <v>582.21081495535691</v>
      </c>
      <c r="G6" s="132">
        <f t="shared" si="3"/>
        <v>582.21081495535691</v>
      </c>
      <c r="H6" s="132">
        <f t="shared" si="3"/>
        <v>582.21081495535691</v>
      </c>
      <c r="I6" s="132">
        <f t="shared" si="3"/>
        <v>20160.144228286557</v>
      </c>
      <c r="J6" s="132">
        <f t="shared" si="3"/>
        <v>19738.077641617758</v>
      </c>
      <c r="K6" s="132">
        <f t="shared" si="3"/>
        <v>19316.011054948958</v>
      </c>
      <c r="L6" s="132">
        <f t="shared" si="3"/>
        <v>18893.944468280159</v>
      </c>
      <c r="M6" s="132">
        <f t="shared" si="3"/>
        <v>17026.663288821375</v>
      </c>
      <c r="N6" s="132">
        <f t="shared" si="3"/>
        <v>15165.246748289857</v>
      </c>
      <c r="O6" s="132">
        <f t="shared" si="3"/>
        <v>13309.694846685603</v>
      </c>
      <c r="P6" s="132">
        <f t="shared" si="3"/>
        <v>13309.694846685603</v>
      </c>
      <c r="Q6" s="132">
        <f t="shared" si="3"/>
        <v>12277.996015311603</v>
      </c>
      <c r="R6" s="132">
        <f t="shared" si="3"/>
        <v>11277.208610273346</v>
      </c>
      <c r="S6" s="132">
        <f t="shared" si="3"/>
        <v>10282.285844162354</v>
      </c>
      <c r="T6" s="132">
        <f t="shared" si="3"/>
        <v>9293.2277169786266</v>
      </c>
      <c r="U6" s="132">
        <f t="shared" si="3"/>
        <v>8310.0342287221629</v>
      </c>
      <c r="V6" s="132">
        <f t="shared" si="3"/>
        <v>7332.7053793929626</v>
      </c>
      <c r="W6" s="132">
        <f t="shared" si="3"/>
        <v>6361.2411689910259</v>
      </c>
      <c r="X6" s="132">
        <f t="shared" si="3"/>
        <v>5383.1182038121106</v>
      </c>
      <c r="Y6" s="132">
        <f t="shared" si="3"/>
        <v>4423.3832712647009</v>
      </c>
      <c r="Z6" s="132">
        <f t="shared" si="3"/>
        <v>3469.5129776445547</v>
      </c>
      <c r="AA6" s="132">
        <f t="shared" si="3"/>
        <v>2521.5073229516729</v>
      </c>
      <c r="AB6" s="132">
        <f t="shared" si="3"/>
        <v>1579.3663071860542</v>
      </c>
      <c r="AC6" s="132">
        <f t="shared" si="3"/>
        <v>1579.3663071860542</v>
      </c>
      <c r="AD6" s="132">
        <f t="shared" si="3"/>
        <v>5641.4058362236638</v>
      </c>
      <c r="AE6" s="132">
        <f t="shared" si="3"/>
        <v>6035.595018946502</v>
      </c>
      <c r="AF6" s="132">
        <f t="shared" si="3"/>
        <v>1512.0791285215018</v>
      </c>
      <c r="AG6" s="132">
        <f t="shared" si="3"/>
        <v>3264.1666604546044</v>
      </c>
      <c r="AH6" s="132">
        <f t="shared" si="3"/>
        <v>11165.54423650627</v>
      </c>
    </row>
    <row r="7" spans="1:183" ht="15" customHeight="1">
      <c r="A7" s="135" t="s">
        <v>136</v>
      </c>
      <c r="B7" s="131"/>
      <c r="C7" s="136"/>
      <c r="D7" s="136">
        <f>'1-Ф3'!D37</f>
        <v>0</v>
      </c>
      <c r="E7" s="136">
        <f>'1-Ф3'!E37</f>
        <v>0</v>
      </c>
      <c r="F7" s="136">
        <f>'1-Ф3'!F37</f>
        <v>0</v>
      </c>
      <c r="G7" s="136">
        <f>'1-Ф3'!G37</f>
        <v>0</v>
      </c>
      <c r="H7" s="136">
        <f>'1-Ф3'!H37</f>
        <v>0</v>
      </c>
      <c r="I7" s="136">
        <f>'1-Ф3'!I37</f>
        <v>19577.9334133312</v>
      </c>
      <c r="J7" s="136">
        <f>'1-Ф3'!J37</f>
        <v>19155.866826662401</v>
      </c>
      <c r="K7" s="136">
        <f>'1-Ф3'!K37</f>
        <v>18733.800239993601</v>
      </c>
      <c r="L7" s="136">
        <f>'1-Ф3'!L37</f>
        <v>18311.733653324802</v>
      </c>
      <c r="M7" s="136">
        <f>'1-Ф3'!M37</f>
        <v>16444.452473866018</v>
      </c>
      <c r="N7" s="136">
        <f>'1-Ф3'!N37</f>
        <v>14583.0359333345</v>
      </c>
      <c r="O7" s="136">
        <f>'1-Ф3'!O37</f>
        <v>12727.484031730246</v>
      </c>
      <c r="P7" s="136">
        <f>'1-Ф3'!P37</f>
        <v>12727.484031730246</v>
      </c>
      <c r="Q7" s="136">
        <f>'1-Ф3'!Q37</f>
        <v>11487.061971952227</v>
      </c>
      <c r="R7" s="136">
        <f>'1-Ф3'!R37</f>
        <v>10486.274566913971</v>
      </c>
      <c r="S7" s="136">
        <f>'1-Ф3'!S37</f>
        <v>9491.3518008029787</v>
      </c>
      <c r="T7" s="136">
        <f>'1-Ф3'!T37</f>
        <v>8502.2936736192514</v>
      </c>
      <c r="U7" s="136">
        <f>'1-Ф3'!U37</f>
        <v>7519.1001853627877</v>
      </c>
      <c r="V7" s="136">
        <f>'1-Ф3'!V37</f>
        <v>6541.7713360335874</v>
      </c>
      <c r="W7" s="136">
        <f>'1-Ф3'!W37</f>
        <v>5570.3071256316507</v>
      </c>
      <c r="X7" s="136">
        <f>'1-Ф3'!X37</f>
        <v>4487.8225462507271</v>
      </c>
      <c r="Y7" s="136">
        <f>'1-Ф3'!Y37</f>
        <v>3528.0876137033174</v>
      </c>
      <c r="Z7" s="136">
        <f>'1-Ф3'!Z37</f>
        <v>2574.2173200831712</v>
      </c>
      <c r="AA7" s="136">
        <f>'1-Ф3'!AA37</f>
        <v>1626.211665390289</v>
      </c>
      <c r="AB7" s="136">
        <f>'1-Ф3'!AB37</f>
        <v>684.07064962467052</v>
      </c>
      <c r="AC7" s="136">
        <f>'1-Ф3'!AC37</f>
        <v>684.07064962467052</v>
      </c>
      <c r="AD7" s="136">
        <f>'1-Ф3'!AD37</f>
        <v>4641.7485644602712</v>
      </c>
      <c r="AE7" s="136">
        <f>'1-Ф3'!AE37</f>
        <v>4827.214518779092</v>
      </c>
      <c r="AF7" s="136">
        <f>'1-Ф3'!AF37</f>
        <v>199.3370141520827</v>
      </c>
      <c r="AG7" s="136">
        <f>'1-Ф3'!AG37</f>
        <v>1951.4245460851853</v>
      </c>
      <c r="AH7" s="136">
        <f>'1-Ф3'!AH37</f>
        <v>9852.8021221368508</v>
      </c>
    </row>
    <row r="8" spans="1:183" ht="15" customHeight="1">
      <c r="A8" s="135" t="s">
        <v>137</v>
      </c>
      <c r="B8" s="131"/>
      <c r="C8" s="136"/>
      <c r="D8" s="136">
        <f>C8+'2-ф2'!D5-'1-Ф3'!D9/Исх!$C$18</f>
        <v>0</v>
      </c>
      <c r="E8" s="136">
        <f>D8+'2-ф2'!E5-'1-Ф3'!E9/Исх!$C$18</f>
        <v>0</v>
      </c>
      <c r="F8" s="136">
        <f>E8+'2-ф2'!F5-'1-Ф3'!F9/Исх!$C$18</f>
        <v>0</v>
      </c>
      <c r="G8" s="136">
        <f>F8+'2-ф2'!G5-'1-Ф3'!G9/Исх!$C$18</f>
        <v>0</v>
      </c>
      <c r="H8" s="136">
        <f>G8+'2-ф2'!H5-'1-Ф3'!H9/Исх!$C$18</f>
        <v>0</v>
      </c>
      <c r="I8" s="136">
        <f>H8+'2-ф2'!I5-'1-Ф3'!I9/Исх!$C$18</f>
        <v>0</v>
      </c>
      <c r="J8" s="136">
        <f>I8+'2-ф2'!J5-'1-Ф3'!J9/Исх!$C$18</f>
        <v>0</v>
      </c>
      <c r="K8" s="136">
        <f>J8+'2-ф2'!K5-'1-Ф3'!K9/Исх!$C$18</f>
        <v>0</v>
      </c>
      <c r="L8" s="136">
        <f>K8+'2-ф2'!L5-'1-Ф3'!L9/Исх!$C$18</f>
        <v>0</v>
      </c>
      <c r="M8" s="136">
        <f>L8+'2-ф2'!M5-'1-Ф3'!M9/Исх!$C$18</f>
        <v>0</v>
      </c>
      <c r="N8" s="136">
        <f>M8+'2-ф2'!N5-'1-Ф3'!N9/Исх!$C$18</f>
        <v>0</v>
      </c>
      <c r="O8" s="136">
        <f>N8+'2-ф2'!O5-'1-Ф3'!O9/Исх!$C$18</f>
        <v>0</v>
      </c>
      <c r="P8" s="136">
        <f>O8</f>
        <v>0</v>
      </c>
      <c r="Q8" s="136">
        <f>P8+'2-ф2'!Q5-'1-Ф3'!Q9/Исх!$C$18</f>
        <v>0</v>
      </c>
      <c r="R8" s="136">
        <f>Q8+'2-ф2'!R5-'1-Ф3'!R9/Исх!$C$18</f>
        <v>0</v>
      </c>
      <c r="S8" s="136">
        <f>R8+'2-ф2'!S5-'1-Ф3'!S9/Исх!$C$18</f>
        <v>0</v>
      </c>
      <c r="T8" s="136">
        <f>S8+'2-ф2'!T5-'1-Ф3'!T9/Исх!$C$18</f>
        <v>0</v>
      </c>
      <c r="U8" s="136">
        <f>T8+'2-ф2'!U5-'1-Ф3'!U9/Исх!$C$18</f>
        <v>0</v>
      </c>
      <c r="V8" s="136">
        <f>U8+'2-ф2'!V5-'1-Ф3'!V9/Исх!$C$18</f>
        <v>0</v>
      </c>
      <c r="W8" s="136">
        <f>V8+'2-ф2'!W5-'1-Ф3'!W9/Исх!$C$18</f>
        <v>0</v>
      </c>
      <c r="X8" s="136">
        <f>W8+'2-ф2'!X5-'1-Ф3'!X9/Исх!$C$18</f>
        <v>0</v>
      </c>
      <c r="Y8" s="136">
        <f>X8+'2-ф2'!Y5-'1-Ф3'!Y9/Исх!$C$18</f>
        <v>0</v>
      </c>
      <c r="Z8" s="136">
        <f>Y8+'2-ф2'!Z5-'1-Ф3'!Z9/Исх!$C$18</f>
        <v>0</v>
      </c>
      <c r="AA8" s="136">
        <f>Z8+'2-ф2'!AA5-'1-Ф3'!AA9/Исх!$C$18</f>
        <v>0</v>
      </c>
      <c r="AB8" s="136">
        <f>AA8+'2-ф2'!AB5-'1-Ф3'!AB9/Исх!$C$18</f>
        <v>0</v>
      </c>
      <c r="AC8" s="136">
        <f>AB8</f>
        <v>0</v>
      </c>
      <c r="AD8" s="136">
        <f>AC8+'2-ф2'!AD5-'1-Ф3'!AD9/Исх!$C$18</f>
        <v>0</v>
      </c>
      <c r="AE8" s="136">
        <f>AD8+'2-ф2'!AE5-'1-Ф3'!AE9/Исх!$C$18</f>
        <v>0</v>
      </c>
      <c r="AF8" s="136">
        <f>AE8+'2-ф2'!AF5-'1-Ф3'!AF9/Исх!$C$18</f>
        <v>0</v>
      </c>
      <c r="AG8" s="136">
        <f>AF8+'2-ф2'!AG5-'1-Ф3'!AG9/Исх!$C$18</f>
        <v>0</v>
      </c>
      <c r="AH8" s="136">
        <f>AG8+'2-ф2'!AH5-'1-Ф3'!AH9/Исх!$C$18</f>
        <v>0</v>
      </c>
    </row>
    <row r="9" spans="1:183" ht="15" customHeight="1">
      <c r="A9" s="135" t="s">
        <v>138</v>
      </c>
      <c r="B9" s="131"/>
      <c r="C9" s="136"/>
      <c r="D9" s="136">
        <f>C9+'1-Ф3'!D14/Исх!$C$18-'2-ф2'!D10</f>
        <v>0</v>
      </c>
      <c r="E9" s="136">
        <f>D9+'1-Ф3'!E14/Исх!$C$18-'2-ф2'!E10</f>
        <v>0</v>
      </c>
      <c r="F9" s="136">
        <f>E9+'1-Ф3'!F14/Исх!$C$18-'2-ф2'!F10</f>
        <v>582.21081495535691</v>
      </c>
      <c r="G9" s="136">
        <f>F9+'1-Ф3'!G14/Исх!$C$18-'2-ф2'!G10</f>
        <v>582.21081495535691</v>
      </c>
      <c r="H9" s="136">
        <f>G9+'1-Ф3'!H14/Исх!$C$18-'2-ф2'!H10</f>
        <v>582.21081495535691</v>
      </c>
      <c r="I9" s="136">
        <f>H9+'1-Ф3'!I14/Исх!$C$18-'2-ф2'!I10</f>
        <v>582.21081495535691</v>
      </c>
      <c r="J9" s="136">
        <f>I9+'1-Ф3'!J14/Исх!$C$18-'2-ф2'!J10</f>
        <v>582.21081495535691</v>
      </c>
      <c r="K9" s="136">
        <f>J9+'1-Ф3'!K14/Исх!$C$18-'2-ф2'!K10</f>
        <v>582.21081495535691</v>
      </c>
      <c r="L9" s="136">
        <f>K9+'1-Ф3'!L14/Исх!$C$18-'2-ф2'!L10</f>
        <v>582.21081495535691</v>
      </c>
      <c r="M9" s="136">
        <f>L9+'1-Ф3'!M14/Исх!$C$18-'2-ф2'!M10</f>
        <v>582.21081495535691</v>
      </c>
      <c r="N9" s="136">
        <f>M9+'1-Ф3'!N14/Исх!$C$18-'2-ф2'!N10</f>
        <v>582.21081495535691</v>
      </c>
      <c r="O9" s="136">
        <f>N9+'1-Ф3'!O14/Исх!$C$18-'2-ф2'!O10</f>
        <v>582.21081495535691</v>
      </c>
      <c r="P9" s="136">
        <f>O9</f>
        <v>582.21081495535691</v>
      </c>
      <c r="Q9" s="136">
        <f>P9+'1-Ф3'!Q14/Исх!$C$18-'2-ф2'!Q10</f>
        <v>790.93404335937475</v>
      </c>
      <c r="R9" s="136">
        <f>Q9+'1-Ф3'!R14/Исх!$C$18-'2-ф2'!R10</f>
        <v>790.93404335937475</v>
      </c>
      <c r="S9" s="136">
        <f>R9+'1-Ф3'!S14/Исх!$C$18-'2-ф2'!S10</f>
        <v>790.93404335937475</v>
      </c>
      <c r="T9" s="136">
        <f>S9+'1-Ф3'!T14/Исх!$C$18-'2-ф2'!T10</f>
        <v>790.93404335937475</v>
      </c>
      <c r="U9" s="136">
        <f>T9+'1-Ф3'!U14/Исх!$C$18-'2-ф2'!U10</f>
        <v>790.93404335937475</v>
      </c>
      <c r="V9" s="136">
        <f>U9+'1-Ф3'!V14/Исх!$C$18-'2-ф2'!V10</f>
        <v>790.93404335937475</v>
      </c>
      <c r="W9" s="136">
        <f>V9+'1-Ф3'!W14/Исх!$C$18-'2-ф2'!W10</f>
        <v>790.93404335937475</v>
      </c>
      <c r="X9" s="136">
        <f>W9+'1-Ф3'!X14/Исх!$C$18-'2-ф2'!X10</f>
        <v>895.29565756138368</v>
      </c>
      <c r="Y9" s="136">
        <f>X9+'1-Ф3'!Y14/Исх!$C$18-'2-ф2'!Y10</f>
        <v>895.29565756138368</v>
      </c>
      <c r="Z9" s="136">
        <f>Y9+'1-Ф3'!Z14/Исх!$C$18-'2-ф2'!Z10</f>
        <v>895.29565756138368</v>
      </c>
      <c r="AA9" s="136">
        <f>Z9+'1-Ф3'!AA14/Исх!$C$18-'2-ф2'!AA10</f>
        <v>895.29565756138368</v>
      </c>
      <c r="AB9" s="136">
        <f>AA9+'1-Ф3'!AB14/Исх!$C$18-'2-ф2'!AB10</f>
        <v>895.29565756138368</v>
      </c>
      <c r="AC9" s="136">
        <f>AB9</f>
        <v>895.29565756138368</v>
      </c>
      <c r="AD9" s="136">
        <f>AC9+'1-Ф3'!AD14/Исх!$C$18-'2-ф2'!AD10</f>
        <v>999.6572717633926</v>
      </c>
      <c r="AE9" s="136">
        <f>AD9+'1-Ф3'!AE14/Исх!$C$18-'2-ф2'!AE10</f>
        <v>1208.38050016741</v>
      </c>
      <c r="AF9" s="136">
        <f>AE9+'1-Ф3'!AF14/Исх!$C$18-'2-ф2'!AF10</f>
        <v>1312.7421143694191</v>
      </c>
      <c r="AG9" s="136">
        <f>AF9+'1-Ф3'!AG14/Исх!$C$18-'2-ф2'!AG10</f>
        <v>1312.7421143694191</v>
      </c>
      <c r="AH9" s="136">
        <f>AG9+'1-Ф3'!AH14/Исх!$C$18-'2-ф2'!AH10</f>
        <v>1312.7421143694187</v>
      </c>
    </row>
    <row r="10" spans="1:183" ht="15" customHeight="1">
      <c r="A10" s="135" t="s">
        <v>139</v>
      </c>
      <c r="B10" s="131"/>
      <c r="C10" s="136"/>
      <c r="D10" s="136"/>
      <c r="E10" s="136"/>
      <c r="F10" s="136"/>
      <c r="G10" s="136">
        <f t="shared" ref="G10:I10" si="4">F10</f>
        <v>0</v>
      </c>
      <c r="H10" s="136">
        <f t="shared" si="4"/>
        <v>0</v>
      </c>
      <c r="I10" s="136">
        <f t="shared" si="4"/>
        <v>0</v>
      </c>
      <c r="J10" s="136">
        <f t="shared" ref="J10:O10" si="5">I10</f>
        <v>0</v>
      </c>
      <c r="K10" s="136">
        <f t="shared" si="5"/>
        <v>0</v>
      </c>
      <c r="L10" s="136">
        <f t="shared" si="5"/>
        <v>0</v>
      </c>
      <c r="M10" s="136">
        <f t="shared" si="5"/>
        <v>0</v>
      </c>
      <c r="N10" s="136">
        <f t="shared" si="5"/>
        <v>0</v>
      </c>
      <c r="O10" s="136">
        <f t="shared" si="5"/>
        <v>0</v>
      </c>
      <c r="P10" s="136">
        <f>O10</f>
        <v>0</v>
      </c>
      <c r="Q10" s="136"/>
      <c r="R10" s="136">
        <f>Q10+'1-Ф3'!R14-'2-ф2'!R10*Исх!$C$18</f>
        <v>0</v>
      </c>
      <c r="S10" s="136">
        <f>R10+'1-Ф3'!S14-'2-ф2'!S10*Исх!$C$18</f>
        <v>0</v>
      </c>
      <c r="T10" s="136">
        <f>S10+'1-Ф3'!T14-'2-ф2'!T10*Исх!$C$18</f>
        <v>0</v>
      </c>
      <c r="U10" s="136">
        <f>T10+'1-Ф3'!U14-'2-ф2'!U10*Исх!$C$18</f>
        <v>0</v>
      </c>
      <c r="V10" s="136">
        <f>U10+'1-Ф3'!V14-'2-ф2'!V10*Исх!$C$18</f>
        <v>0</v>
      </c>
      <c r="W10" s="136">
        <f>V10+'1-Ф3'!W14-'2-ф2'!W10*Исх!$C$18</f>
        <v>0</v>
      </c>
      <c r="X10" s="136"/>
      <c r="Y10" s="136"/>
      <c r="Z10" s="136"/>
      <c r="AA10" s="136"/>
      <c r="AB10" s="136"/>
      <c r="AC10" s="136">
        <f>AB10</f>
        <v>0</v>
      </c>
      <c r="AD10" s="136">
        <f>AC10</f>
        <v>0</v>
      </c>
      <c r="AE10" s="136">
        <f>AD10</f>
        <v>0</v>
      </c>
      <c r="AF10" s="136">
        <f>AE10</f>
        <v>0</v>
      </c>
      <c r="AG10" s="136">
        <f>AF10</f>
        <v>0</v>
      </c>
      <c r="AH10" s="136">
        <f>AG10</f>
        <v>0</v>
      </c>
    </row>
    <row r="11" spans="1:183" ht="15" customHeight="1">
      <c r="A11" s="130" t="s">
        <v>140</v>
      </c>
      <c r="B11" s="131"/>
      <c r="C11" s="132">
        <f t="shared" ref="C11:AH11" si="6">SUM(C12:C14)</f>
        <v>0</v>
      </c>
      <c r="D11" s="132">
        <f t="shared" si="6"/>
        <v>5606.5375999999997</v>
      </c>
      <c r="E11" s="132">
        <f t="shared" si="6"/>
        <v>18411.529920000001</v>
      </c>
      <c r="F11" s="132">
        <f t="shared" si="6"/>
        <v>82858.814097794631</v>
      </c>
      <c r="G11" s="132">
        <f t="shared" si="6"/>
        <v>82509.778005710687</v>
      </c>
      <c r="H11" s="132">
        <f t="shared" si="6"/>
        <v>82160.741913626742</v>
      </c>
      <c r="I11" s="132">
        <f t="shared" si="6"/>
        <v>81811.705821542782</v>
      </c>
      <c r="J11" s="132">
        <f t="shared" si="6"/>
        <v>81462.669729458838</v>
      </c>
      <c r="K11" s="132">
        <f t="shared" si="6"/>
        <v>81113.633637374878</v>
      </c>
      <c r="L11" s="132">
        <f t="shared" si="6"/>
        <v>80764.597545290933</v>
      </c>
      <c r="M11" s="132">
        <f t="shared" si="6"/>
        <v>80415.561453206989</v>
      </c>
      <c r="N11" s="132">
        <f t="shared" si="6"/>
        <v>80066.525361123029</v>
      </c>
      <c r="O11" s="132">
        <f t="shared" si="6"/>
        <v>79717.489269039084</v>
      </c>
      <c r="P11" s="132">
        <f t="shared" si="6"/>
        <v>79717.489269039084</v>
      </c>
      <c r="Q11" s="132">
        <f t="shared" si="6"/>
        <v>79299.900962729924</v>
      </c>
      <c r="R11" s="132">
        <f t="shared" si="6"/>
        <v>78857.265869012277</v>
      </c>
      <c r="S11" s="132">
        <f t="shared" si="6"/>
        <v>78414.630775294616</v>
      </c>
      <c r="T11" s="132">
        <f t="shared" si="6"/>
        <v>77971.995681576969</v>
      </c>
      <c r="U11" s="132">
        <f t="shared" si="6"/>
        <v>77529.360587859323</v>
      </c>
      <c r="V11" s="132">
        <f t="shared" si="6"/>
        <v>77086.725494141676</v>
      </c>
      <c r="W11" s="132">
        <f t="shared" si="6"/>
        <v>76644.090400424029</v>
      </c>
      <c r="X11" s="132">
        <f t="shared" si="6"/>
        <v>76213.978700410618</v>
      </c>
      <c r="Y11" s="132">
        <f t="shared" si="6"/>
        <v>75771.343606692972</v>
      </c>
      <c r="Z11" s="132">
        <f t="shared" si="6"/>
        <v>75328.708512975325</v>
      </c>
      <c r="AA11" s="132">
        <f t="shared" si="6"/>
        <v>74886.073419257678</v>
      </c>
      <c r="AB11" s="132">
        <f t="shared" si="6"/>
        <v>74443.438325540032</v>
      </c>
      <c r="AC11" s="132">
        <f t="shared" si="6"/>
        <v>74443.438325540032</v>
      </c>
      <c r="AD11" s="132">
        <f t="shared" si="6"/>
        <v>67547.223115960966</v>
      </c>
      <c r="AE11" s="132">
        <f t="shared" si="6"/>
        <v>61130.563681256717</v>
      </c>
      <c r="AF11" s="132">
        <f t="shared" si="6"/>
        <v>57386.678410714172</v>
      </c>
      <c r="AG11" s="132">
        <f t="shared" si="6"/>
        <v>53906.251910714171</v>
      </c>
      <c r="AH11" s="132">
        <f t="shared" si="6"/>
        <v>50425.825410714169</v>
      </c>
    </row>
    <row r="12" spans="1:183">
      <c r="A12" s="135" t="s">
        <v>141</v>
      </c>
      <c r="B12" s="137"/>
      <c r="C12" s="136"/>
      <c r="D12" s="136">
        <f>C12+'1-Ф3'!D23/Исх!$C$18-'2-ф2'!D14</f>
        <v>5005.8371428571427</v>
      </c>
      <c r="E12" s="136">
        <f>D12+'1-Ф3'!E23/Исх!$C$18-'2-ф2'!E14</f>
        <v>16438.866000000002</v>
      </c>
      <c r="F12" s="136">
        <f>E12+'1-Ф3'!F23/Исх!$C$18-'2-ф2'!F14</f>
        <v>73918.704285714281</v>
      </c>
      <c r="G12" s="136">
        <f>F12+'1-Ф3'!G23/Исх!$C$18-'2-ф2'!G14</f>
        <v>73628.668744047609</v>
      </c>
      <c r="H12" s="136">
        <f>G12+'1-Ф3'!H23/Исх!$C$18-'2-ф2'!H14</f>
        <v>73338.633202380937</v>
      </c>
      <c r="I12" s="136">
        <f>H12+'1-Ф3'!I23/Исх!$C$18-'2-ф2'!I14</f>
        <v>73048.597660714266</v>
      </c>
      <c r="J12" s="136">
        <f>I12+'1-Ф3'!J23/Исх!$C$18-'2-ф2'!J14</f>
        <v>72758.562119047594</v>
      </c>
      <c r="K12" s="136">
        <f>J12+'1-Ф3'!K23/Исх!$C$18-'2-ф2'!K14</f>
        <v>72468.526577380922</v>
      </c>
      <c r="L12" s="136">
        <f>K12+'1-Ф3'!L23/Исх!$C$18-'2-ф2'!L14</f>
        <v>72178.491035714251</v>
      </c>
      <c r="M12" s="136">
        <f>L12+'1-Ф3'!M23/Исх!$C$18-'2-ф2'!M14</f>
        <v>71888.455494047579</v>
      </c>
      <c r="N12" s="136">
        <f>M12+'1-Ф3'!N23/Исх!$C$18-'2-ф2'!N14</f>
        <v>71598.419952380907</v>
      </c>
      <c r="O12" s="136">
        <f>N12+'1-Ф3'!O23/Исх!$C$18-'2-ф2'!O14</f>
        <v>71308.384410714236</v>
      </c>
      <c r="P12" s="136">
        <f>O12</f>
        <v>71308.384410714236</v>
      </c>
      <c r="Q12" s="136">
        <f>P12+'1-Ф3'!Q23/Исх!$C$18-'2-ф2'!Q14</f>
        <v>71018.348869047564</v>
      </c>
      <c r="R12" s="136">
        <f>Q12+'1-Ф3'!R23/Исх!$C$18-'2-ф2'!R14</f>
        <v>70728.313327380893</v>
      </c>
      <c r="S12" s="136">
        <f>R12+'1-Ф3'!S23/Исх!$C$18-'2-ф2'!S14</f>
        <v>70438.277785714221</v>
      </c>
      <c r="T12" s="136">
        <f>S12+'1-Ф3'!T23/Исх!$C$18-'2-ф2'!T14</f>
        <v>70148.242244047549</v>
      </c>
      <c r="U12" s="136">
        <f>T12+'1-Ф3'!U23/Исх!$C$18-'2-ф2'!U14</f>
        <v>69858.206702380878</v>
      </c>
      <c r="V12" s="136">
        <f>U12+'1-Ф3'!V23/Исх!$C$18-'2-ф2'!V14</f>
        <v>69568.171160714206</v>
      </c>
      <c r="W12" s="136">
        <f>V12+'1-Ф3'!W23/Исх!$C$18-'2-ф2'!W14</f>
        <v>69278.135619047534</v>
      </c>
      <c r="X12" s="136">
        <f>W12+'1-Ф3'!X23/Исх!$C$18-'2-ф2'!X14</f>
        <v>68988.100077380863</v>
      </c>
      <c r="Y12" s="136">
        <f>X12+'1-Ф3'!Y23/Исх!$C$18-'2-ф2'!Y14</f>
        <v>68698.064535714191</v>
      </c>
      <c r="Z12" s="136">
        <f>Y12+'1-Ф3'!Z23/Исх!$C$18-'2-ф2'!Z14</f>
        <v>68408.02899404752</v>
      </c>
      <c r="AA12" s="136">
        <f>Z12+'1-Ф3'!AA23/Исх!$C$18-'2-ф2'!AA14</f>
        <v>68117.993452380848</v>
      </c>
      <c r="AB12" s="136">
        <f>AA12+'1-Ф3'!AB23/Исх!$C$18-'2-ф2'!AB14</f>
        <v>67827.957910714176</v>
      </c>
      <c r="AC12" s="136">
        <f>AB12</f>
        <v>67827.957910714176</v>
      </c>
      <c r="AD12" s="136">
        <f>AC12+'1-Ф3'!AD23/Исх!$C$18-'2-ф2'!AD14</f>
        <v>64347.531410714175</v>
      </c>
      <c r="AE12" s="136">
        <f>AD12+'1-Ф3'!AE23/Исх!$C$18-'2-ф2'!AE14</f>
        <v>60867.104910714173</v>
      </c>
      <c r="AF12" s="136">
        <f>AE12+'1-Ф3'!AF23/Исх!$C$18-'2-ф2'!AF14</f>
        <v>57386.678410714172</v>
      </c>
      <c r="AG12" s="136">
        <f>AF12+'1-Ф3'!AG23/Исх!$C$18-'2-ф2'!AG14</f>
        <v>53906.251910714171</v>
      </c>
      <c r="AH12" s="136">
        <f>AG12+'1-Ф3'!AH23/Исх!$C$18-'2-ф2'!AH14</f>
        <v>50425.825410714169</v>
      </c>
    </row>
    <row r="13" spans="1:183" ht="15" hidden="1" customHeight="1">
      <c r="A13" s="135" t="s">
        <v>142</v>
      </c>
      <c r="B13" s="137"/>
      <c r="C13" s="136"/>
      <c r="D13" s="136">
        <f>C13</f>
        <v>0</v>
      </c>
      <c r="E13" s="136">
        <f>D13</f>
        <v>0</v>
      </c>
      <c r="F13" s="136">
        <f t="shared" ref="F13:AH14" si="7">E13</f>
        <v>0</v>
      </c>
      <c r="G13" s="136">
        <f t="shared" si="7"/>
        <v>0</v>
      </c>
      <c r="H13" s="136">
        <f t="shared" si="7"/>
        <v>0</v>
      </c>
      <c r="I13" s="136">
        <f t="shared" si="7"/>
        <v>0</v>
      </c>
      <c r="J13" s="136">
        <f t="shared" si="7"/>
        <v>0</v>
      </c>
      <c r="K13" s="136">
        <f t="shared" si="7"/>
        <v>0</v>
      </c>
      <c r="L13" s="136">
        <f t="shared" si="7"/>
        <v>0</v>
      </c>
      <c r="M13" s="136">
        <f t="shared" si="7"/>
        <v>0</v>
      </c>
      <c r="N13" s="136">
        <f t="shared" si="7"/>
        <v>0</v>
      </c>
      <c r="O13" s="136">
        <f t="shared" si="7"/>
        <v>0</v>
      </c>
      <c r="P13" s="136">
        <f t="shared" si="7"/>
        <v>0</v>
      </c>
      <c r="Q13" s="136">
        <f t="shared" si="7"/>
        <v>0</v>
      </c>
      <c r="R13" s="136">
        <f t="shared" si="7"/>
        <v>0</v>
      </c>
      <c r="S13" s="136">
        <f t="shared" si="7"/>
        <v>0</v>
      </c>
      <c r="T13" s="136">
        <f t="shared" si="7"/>
        <v>0</v>
      </c>
      <c r="U13" s="136">
        <f t="shared" si="7"/>
        <v>0</v>
      </c>
      <c r="V13" s="136">
        <f t="shared" si="7"/>
        <v>0</v>
      </c>
      <c r="W13" s="136">
        <f t="shared" si="7"/>
        <v>0</v>
      </c>
      <c r="X13" s="136">
        <f t="shared" si="7"/>
        <v>0</v>
      </c>
      <c r="Y13" s="136">
        <f t="shared" si="7"/>
        <v>0</v>
      </c>
      <c r="Z13" s="136">
        <f t="shared" si="7"/>
        <v>0</v>
      </c>
      <c r="AA13" s="136">
        <f t="shared" si="7"/>
        <v>0</v>
      </c>
      <c r="AB13" s="136">
        <f t="shared" si="7"/>
        <v>0</v>
      </c>
      <c r="AC13" s="136">
        <f t="shared" si="7"/>
        <v>0</v>
      </c>
      <c r="AD13" s="136">
        <f t="shared" si="7"/>
        <v>0</v>
      </c>
      <c r="AE13" s="136">
        <f t="shared" si="7"/>
        <v>0</v>
      </c>
      <c r="AF13" s="136">
        <f t="shared" si="7"/>
        <v>0</v>
      </c>
      <c r="AG13" s="136">
        <f t="shared" si="7"/>
        <v>0</v>
      </c>
      <c r="AH13" s="136">
        <f t="shared" si="7"/>
        <v>0</v>
      </c>
    </row>
    <row r="14" spans="1:183">
      <c r="A14" s="135" t="s">
        <v>143</v>
      </c>
      <c r="B14" s="137"/>
      <c r="C14" s="136"/>
      <c r="D14" s="136">
        <f>IF('2-ф2'!D31&lt;0,-'2-ф2'!D31,0)</f>
        <v>600.70045714285709</v>
      </c>
      <c r="E14" s="136">
        <f>IF('2-ф2'!E31&lt;0,-'2-ф2'!E31,0)</f>
        <v>1972.66392</v>
      </c>
      <c r="F14" s="136">
        <f>IF('2-ф2'!F31&lt;0,-'2-ф2'!F31,0)</f>
        <v>8940.1098120803563</v>
      </c>
      <c r="G14" s="136">
        <f>IF('2-ф2'!G31&lt;0,-'2-ф2'!G31,0)</f>
        <v>8881.1092616630776</v>
      </c>
      <c r="H14" s="136">
        <f>IF('2-ф2'!H31&lt;0,-'2-ф2'!H31,0)</f>
        <v>8822.108711245799</v>
      </c>
      <c r="I14" s="136">
        <f>IF('2-ф2'!I31&lt;0,-'2-ф2'!I31,0)</f>
        <v>8763.1081608285203</v>
      </c>
      <c r="J14" s="136">
        <f>IF('2-ф2'!J31&lt;0,-'2-ф2'!J31,0)</f>
        <v>8704.1076104112417</v>
      </c>
      <c r="K14" s="136">
        <f>IF('2-ф2'!K31&lt;0,-'2-ф2'!K31,0)</f>
        <v>8645.107059993963</v>
      </c>
      <c r="L14" s="136">
        <f>IF('2-ф2'!L31&lt;0,-'2-ф2'!L31,0)</f>
        <v>8586.1065095766844</v>
      </c>
      <c r="M14" s="136">
        <f>IF('2-ф2'!M31&lt;0,-'2-ф2'!M31,0)</f>
        <v>8527.1059591594058</v>
      </c>
      <c r="N14" s="136">
        <f>IF('2-ф2'!N31&lt;0,-'2-ф2'!N31,0)</f>
        <v>8468.1054087421271</v>
      </c>
      <c r="O14" s="136">
        <f>IF('2-ф2'!O31&lt;0,-'2-ф2'!O31,0)</f>
        <v>8409.1048583248485</v>
      </c>
      <c r="P14" s="136">
        <f t="shared" si="7"/>
        <v>8409.1048583248485</v>
      </c>
      <c r="Q14" s="136">
        <f>IF('2-ф2'!Q31&lt;0,-'2-ф2'!Q31,0)</f>
        <v>8281.5520936823541</v>
      </c>
      <c r="R14" s="136">
        <f>IF('2-ф2'!R31&lt;0,-'2-ф2'!R31,0)</f>
        <v>8128.9525416313772</v>
      </c>
      <c r="S14" s="136">
        <f>IF('2-ф2'!S31&lt;0,-'2-ф2'!S31,0)</f>
        <v>7976.3529895804004</v>
      </c>
      <c r="T14" s="136">
        <f>IF('2-ф2'!T31&lt;0,-'2-ф2'!T31,0)</f>
        <v>7823.7534375294235</v>
      </c>
      <c r="U14" s="136">
        <f>IF('2-ф2'!U31&lt;0,-'2-ф2'!U31,0)</f>
        <v>7671.1538854784467</v>
      </c>
      <c r="V14" s="136">
        <f>IF('2-ф2'!V31&lt;0,-'2-ф2'!V31,0)</f>
        <v>7518.5543334274698</v>
      </c>
      <c r="W14" s="136">
        <f>IF('2-ф2'!W31&lt;0,-'2-ф2'!W31,0)</f>
        <v>7365.954781376493</v>
      </c>
      <c r="X14" s="136">
        <f>IF('2-ф2'!X31&lt;0,-'2-ф2'!X31,0)</f>
        <v>7225.8786230297565</v>
      </c>
      <c r="Y14" s="136">
        <f>IF('2-ф2'!Y31&lt;0,-'2-ф2'!Y31,0)</f>
        <v>7073.2790709787796</v>
      </c>
      <c r="Z14" s="136">
        <f>IF('2-ф2'!Z31&lt;0,-'2-ф2'!Z31,0)</f>
        <v>6920.6795189278027</v>
      </c>
      <c r="AA14" s="136">
        <f>IF('2-ф2'!AA31&lt;0,-'2-ф2'!AA31,0)</f>
        <v>6768.0799668768259</v>
      </c>
      <c r="AB14" s="136">
        <f>IF('2-ф2'!AB31&lt;0,-'2-ф2'!AB31,0)</f>
        <v>6615.480414825849</v>
      </c>
      <c r="AC14" s="136">
        <f t="shared" si="7"/>
        <v>6615.480414825849</v>
      </c>
      <c r="AD14" s="136">
        <f>IF('2-ф2'!AD31&lt;0,-'2-ф2'!AD31,0)</f>
        <v>3199.6917052467907</v>
      </c>
      <c r="AE14" s="136">
        <f>IF('2-ф2'!AE31&lt;0,-'2-ф2'!AE31,0)</f>
        <v>263.45877054254379</v>
      </c>
      <c r="AF14" s="136">
        <f>IF('2-ф2'!AF31&lt;0,-'2-ф2'!AF31,0)</f>
        <v>0</v>
      </c>
      <c r="AG14" s="136">
        <f>IF('2-ф2'!AG31&lt;0,-'2-ф2'!AG31,0)</f>
        <v>0</v>
      </c>
      <c r="AH14" s="136">
        <f>IF('2-ф2'!AH31&lt;0,-'2-ф2'!AH31,0)</f>
        <v>0</v>
      </c>
    </row>
    <row r="15" spans="1:183">
      <c r="A15" s="138"/>
      <c r="B15" s="139"/>
      <c r="C15" s="139"/>
      <c r="D15" s="139"/>
      <c r="E15" s="139"/>
      <c r="F15" s="139"/>
      <c r="G15" s="139"/>
      <c r="H15" s="139"/>
      <c r="I15" s="139"/>
      <c r="J15" s="139"/>
      <c r="K15" s="139"/>
      <c r="L15" s="139"/>
      <c r="M15" s="139"/>
      <c r="N15" s="139"/>
      <c r="O15" s="139"/>
      <c r="P15" s="139"/>
      <c r="Q15" s="139"/>
      <c r="R15" s="139"/>
      <c r="S15" s="139"/>
      <c r="T15" s="139"/>
      <c r="U15" s="139"/>
      <c r="V15" s="139"/>
      <c r="W15" s="139"/>
      <c r="X15" s="139"/>
      <c r="Y15" s="139"/>
      <c r="Z15" s="139"/>
      <c r="AA15" s="139"/>
      <c r="AB15" s="139"/>
      <c r="AC15" s="139"/>
      <c r="AD15" s="139"/>
      <c r="AE15" s="139"/>
      <c r="AF15" s="139"/>
      <c r="AG15" s="139"/>
      <c r="AH15" s="139"/>
      <c r="AI15" s="138"/>
      <c r="AJ15" s="138"/>
      <c r="AK15" s="138"/>
      <c r="AL15" s="138"/>
      <c r="AM15" s="138"/>
      <c r="AN15" s="138"/>
      <c r="AO15" s="138"/>
      <c r="AP15" s="138"/>
      <c r="AQ15" s="138"/>
      <c r="AR15" s="138"/>
      <c r="AS15" s="138"/>
      <c r="AT15" s="138"/>
      <c r="AU15" s="138"/>
      <c r="AV15" s="138"/>
      <c r="AW15" s="138"/>
      <c r="AX15" s="138"/>
      <c r="AY15" s="138"/>
      <c r="AZ15" s="138"/>
      <c r="BA15" s="138"/>
      <c r="BB15" s="138"/>
      <c r="BC15" s="138"/>
      <c r="BD15" s="138"/>
      <c r="BE15" s="138"/>
      <c r="BF15" s="138"/>
      <c r="BG15" s="138"/>
      <c r="BH15" s="138"/>
      <c r="BI15" s="138"/>
      <c r="BJ15" s="138"/>
      <c r="BK15" s="138"/>
      <c r="BL15" s="138"/>
      <c r="BM15" s="138"/>
      <c r="BN15" s="138"/>
      <c r="BO15" s="138"/>
      <c r="BP15" s="138"/>
      <c r="BQ15" s="138"/>
      <c r="BR15" s="138"/>
      <c r="BS15" s="138"/>
      <c r="BT15" s="138"/>
      <c r="BU15" s="138"/>
      <c r="BV15" s="138"/>
      <c r="BW15" s="138"/>
      <c r="BX15" s="138"/>
      <c r="BY15" s="138"/>
      <c r="BZ15" s="138"/>
      <c r="CA15" s="138"/>
      <c r="CB15" s="138"/>
      <c r="CC15" s="138"/>
      <c r="CD15" s="138"/>
      <c r="CE15" s="138"/>
      <c r="CF15" s="138"/>
      <c r="CG15" s="138"/>
      <c r="CH15" s="138"/>
      <c r="CI15" s="138"/>
      <c r="CJ15" s="138"/>
      <c r="CK15" s="138"/>
      <c r="CL15" s="138"/>
      <c r="CM15" s="138"/>
      <c r="CN15" s="138"/>
      <c r="CO15" s="138"/>
      <c r="CP15" s="138"/>
      <c r="CQ15" s="138"/>
      <c r="CR15" s="138"/>
      <c r="CS15" s="138"/>
      <c r="CT15" s="138"/>
      <c r="CU15" s="138"/>
      <c r="CV15" s="138"/>
      <c r="CW15" s="138"/>
      <c r="CX15" s="138"/>
      <c r="CY15" s="138"/>
      <c r="CZ15" s="138"/>
      <c r="DA15" s="138"/>
      <c r="DB15" s="138"/>
      <c r="DC15" s="138"/>
      <c r="DD15" s="138"/>
      <c r="DE15" s="138"/>
      <c r="DF15" s="138"/>
      <c r="DG15" s="138"/>
      <c r="DH15" s="138"/>
      <c r="DI15" s="138"/>
      <c r="DJ15" s="138"/>
      <c r="DK15" s="138"/>
      <c r="DL15" s="138"/>
      <c r="DM15" s="138"/>
      <c r="DN15" s="138"/>
      <c r="DO15" s="138"/>
      <c r="DP15" s="138"/>
      <c r="DQ15" s="138"/>
      <c r="DR15" s="138"/>
      <c r="DS15" s="138"/>
      <c r="DT15" s="138"/>
      <c r="DU15" s="138"/>
      <c r="DV15" s="138"/>
      <c r="DW15" s="138"/>
      <c r="DX15" s="138"/>
      <c r="DY15" s="138"/>
      <c r="DZ15" s="138"/>
      <c r="EA15" s="138"/>
      <c r="EB15" s="138"/>
      <c r="EC15" s="138"/>
      <c r="ED15" s="138"/>
      <c r="EE15" s="138"/>
      <c r="EF15" s="138"/>
      <c r="EG15" s="138"/>
      <c r="EH15" s="138"/>
      <c r="EI15" s="138"/>
      <c r="EJ15" s="138"/>
      <c r="EK15" s="138"/>
      <c r="EL15" s="138"/>
      <c r="EM15" s="138"/>
      <c r="EN15" s="138"/>
      <c r="EO15" s="138"/>
      <c r="EP15" s="138"/>
      <c r="EQ15" s="138"/>
      <c r="ER15" s="138"/>
      <c r="ES15" s="138"/>
      <c r="ET15" s="138"/>
      <c r="EU15" s="138"/>
      <c r="EV15" s="138"/>
      <c r="EW15" s="138"/>
      <c r="EX15" s="138"/>
      <c r="EY15" s="138"/>
      <c r="EZ15" s="138"/>
      <c r="FA15" s="138"/>
      <c r="FB15" s="138"/>
      <c r="FC15" s="138"/>
      <c r="FD15" s="138"/>
      <c r="FE15" s="138"/>
      <c r="FF15" s="138"/>
      <c r="FG15" s="138"/>
      <c r="FH15" s="138"/>
      <c r="FI15" s="138"/>
      <c r="FJ15" s="138"/>
      <c r="FK15" s="138"/>
      <c r="FL15" s="138"/>
      <c r="FM15" s="138"/>
      <c r="FN15" s="138"/>
      <c r="FO15" s="138"/>
      <c r="FP15" s="138"/>
      <c r="FQ15" s="138"/>
      <c r="FR15" s="138"/>
      <c r="FS15" s="138"/>
      <c r="FT15" s="138"/>
      <c r="FU15" s="138"/>
      <c r="FV15" s="138"/>
      <c r="FW15" s="138"/>
      <c r="FX15" s="138"/>
      <c r="FY15" s="138"/>
      <c r="FZ15" s="138"/>
      <c r="GA15" s="138"/>
    </row>
    <row r="16" spans="1:183" s="134" customFormat="1" ht="15" customHeight="1">
      <c r="A16" s="130" t="s">
        <v>144</v>
      </c>
      <c r="B16" s="131"/>
      <c r="C16" s="131">
        <f t="shared" ref="C16:AH16" si="8">C21+C24+C17</f>
        <v>0</v>
      </c>
      <c r="D16" s="131">
        <f t="shared" si="8"/>
        <v>5606.5376000000006</v>
      </c>
      <c r="E16" s="131">
        <f t="shared" si="8"/>
        <v>18411.529920000001</v>
      </c>
      <c r="F16" s="131">
        <f t="shared" si="8"/>
        <v>83441.024912749999</v>
      </c>
      <c r="G16" s="131">
        <f t="shared" si="8"/>
        <v>83091.96066283212</v>
      </c>
      <c r="H16" s="131">
        <f t="shared" si="8"/>
        <v>82742.89641291424</v>
      </c>
      <c r="I16" s="131">
        <f t="shared" si="8"/>
        <v>101971.76557632757</v>
      </c>
      <c r="J16" s="131">
        <f t="shared" si="8"/>
        <v>101200.6347397409</v>
      </c>
      <c r="K16" s="131">
        <f t="shared" si="8"/>
        <v>100429.50390315424</v>
      </c>
      <c r="L16" s="131">
        <f t="shared" si="8"/>
        <v>99658.373066567554</v>
      </c>
      <c r="M16" s="131">
        <f t="shared" si="8"/>
        <v>97442.027637190884</v>
      </c>
      <c r="N16" s="131">
        <f t="shared" si="8"/>
        <v>95231.54684674149</v>
      </c>
      <c r="O16" s="131">
        <f t="shared" si="8"/>
        <v>93026.930695219358</v>
      </c>
      <c r="P16" s="131">
        <f t="shared" si="8"/>
        <v>93026.930695219358</v>
      </c>
      <c r="Q16" s="131">
        <f t="shared" si="8"/>
        <v>91577.643557536183</v>
      </c>
      <c r="R16" s="131">
        <f t="shared" si="8"/>
        <v>90134.221058780284</v>
      </c>
      <c r="S16" s="131">
        <f t="shared" si="8"/>
        <v>88696.663198951646</v>
      </c>
      <c r="T16" s="131">
        <f t="shared" si="8"/>
        <v>87264.969978050271</v>
      </c>
      <c r="U16" s="131">
        <f t="shared" si="8"/>
        <v>85839.141396076157</v>
      </c>
      <c r="V16" s="131">
        <f t="shared" si="8"/>
        <v>84419.177453029304</v>
      </c>
      <c r="W16" s="131">
        <f t="shared" si="8"/>
        <v>83005.078148909728</v>
      </c>
      <c r="X16" s="131">
        <f t="shared" si="8"/>
        <v>81596.843483717414</v>
      </c>
      <c r="Y16" s="131">
        <f t="shared" si="8"/>
        <v>80194.473457452346</v>
      </c>
      <c r="Z16" s="131">
        <f t="shared" si="8"/>
        <v>78797.968070114555</v>
      </c>
      <c r="AA16" s="131">
        <f t="shared" si="8"/>
        <v>77407.327321704041</v>
      </c>
      <c r="AB16" s="131">
        <f t="shared" si="8"/>
        <v>76022.551212220773</v>
      </c>
      <c r="AC16" s="131">
        <f t="shared" si="8"/>
        <v>76022.551212220773</v>
      </c>
      <c r="AD16" s="131">
        <f t="shared" si="8"/>
        <v>73188.375531679339</v>
      </c>
      <c r="AE16" s="131">
        <f t="shared" si="8"/>
        <v>67165.905279697967</v>
      </c>
      <c r="AF16" s="131">
        <f t="shared" si="8"/>
        <v>58898.50411873043</v>
      </c>
      <c r="AG16" s="131">
        <f t="shared" si="8"/>
        <v>57170.165150663546</v>
      </c>
      <c r="AH16" s="131">
        <f t="shared" si="8"/>
        <v>61591.116226715196</v>
      </c>
      <c r="AI16" s="133"/>
      <c r="AJ16" s="133"/>
      <c r="AK16" s="133"/>
      <c r="AL16" s="133"/>
      <c r="AM16" s="133"/>
      <c r="AN16" s="133"/>
      <c r="AO16" s="133"/>
    </row>
    <row r="17" spans="1:35" ht="15" customHeight="1">
      <c r="A17" s="130" t="s">
        <v>145</v>
      </c>
      <c r="B17" s="131"/>
      <c r="C17" s="131">
        <f t="shared" ref="C17:AH17" si="9">SUM(C18:C20)</f>
        <v>0</v>
      </c>
      <c r="D17" s="131">
        <f t="shared" si="9"/>
        <v>0</v>
      </c>
      <c r="E17" s="131">
        <f t="shared" si="9"/>
        <v>22.89336186666667</v>
      </c>
      <c r="F17" s="131">
        <f t="shared" si="9"/>
        <v>98.07377570666668</v>
      </c>
      <c r="G17" s="131">
        <f t="shared" si="9"/>
        <v>438.79129410039593</v>
      </c>
      <c r="H17" s="131">
        <f t="shared" si="9"/>
        <v>781.23225105635606</v>
      </c>
      <c r="I17" s="131">
        <f t="shared" si="9"/>
        <v>1125.396646574547</v>
      </c>
      <c r="J17" s="131">
        <f t="shared" si="9"/>
        <v>1551.2277087594048</v>
      </c>
      <c r="K17" s="131">
        <f t="shared" si="9"/>
        <v>1977.0587709442625</v>
      </c>
      <c r="L17" s="131">
        <f t="shared" si="9"/>
        <v>0</v>
      </c>
      <c r="M17" s="131">
        <f t="shared" si="9"/>
        <v>0</v>
      </c>
      <c r="N17" s="131">
        <f t="shared" si="9"/>
        <v>0</v>
      </c>
      <c r="O17" s="131">
        <f t="shared" si="9"/>
        <v>0</v>
      </c>
      <c r="P17" s="131">
        <f t="shared" si="9"/>
        <v>0</v>
      </c>
      <c r="Q17" s="131">
        <f t="shared" si="9"/>
        <v>0</v>
      </c>
      <c r="R17" s="131">
        <f t="shared" si="9"/>
        <v>0</v>
      </c>
      <c r="S17" s="131">
        <f t="shared" si="9"/>
        <v>0</v>
      </c>
      <c r="T17" s="131">
        <f t="shared" si="9"/>
        <v>0</v>
      </c>
      <c r="U17" s="131">
        <f t="shared" si="9"/>
        <v>0</v>
      </c>
      <c r="V17" s="131">
        <f t="shared" si="9"/>
        <v>0</v>
      </c>
      <c r="W17" s="131">
        <f t="shared" si="9"/>
        <v>0</v>
      </c>
      <c r="X17" s="131">
        <f t="shared" si="9"/>
        <v>0</v>
      </c>
      <c r="Y17" s="131">
        <f t="shared" si="9"/>
        <v>0</v>
      </c>
      <c r="Z17" s="131">
        <f t="shared" si="9"/>
        <v>0</v>
      </c>
      <c r="AA17" s="131">
        <f t="shared" si="9"/>
        <v>0</v>
      </c>
      <c r="AB17" s="131">
        <f t="shared" si="9"/>
        <v>0</v>
      </c>
      <c r="AC17" s="131">
        <f t="shared" si="9"/>
        <v>0</v>
      </c>
      <c r="AD17" s="131">
        <f t="shared" si="9"/>
        <v>0</v>
      </c>
      <c r="AE17" s="131">
        <f t="shared" si="9"/>
        <v>0</v>
      </c>
      <c r="AF17" s="131">
        <f t="shared" si="9"/>
        <v>0</v>
      </c>
      <c r="AG17" s="131">
        <f t="shared" si="9"/>
        <v>0</v>
      </c>
      <c r="AH17" s="131">
        <f t="shared" si="9"/>
        <v>0</v>
      </c>
    </row>
    <row r="18" spans="1:35" hidden="1">
      <c r="A18" s="135" t="s">
        <v>146</v>
      </c>
      <c r="B18" s="137"/>
      <c r="C18" s="137"/>
      <c r="D18" s="137">
        <f>C18</f>
        <v>0</v>
      </c>
      <c r="E18" s="137">
        <f>D18</f>
        <v>0</v>
      </c>
      <c r="F18" s="137">
        <f t="shared" ref="F18:O18" si="10">E18</f>
        <v>0</v>
      </c>
      <c r="G18" s="137">
        <f t="shared" si="10"/>
        <v>0</v>
      </c>
      <c r="H18" s="137">
        <f t="shared" si="10"/>
        <v>0</v>
      </c>
      <c r="I18" s="137">
        <f t="shared" si="10"/>
        <v>0</v>
      </c>
      <c r="J18" s="137">
        <f t="shared" si="10"/>
        <v>0</v>
      </c>
      <c r="K18" s="137">
        <f t="shared" si="10"/>
        <v>0</v>
      </c>
      <c r="L18" s="137">
        <f t="shared" si="10"/>
        <v>0</v>
      </c>
      <c r="M18" s="137">
        <f t="shared" si="10"/>
        <v>0</v>
      </c>
      <c r="N18" s="137">
        <f t="shared" si="10"/>
        <v>0</v>
      </c>
      <c r="O18" s="137">
        <f t="shared" si="10"/>
        <v>0</v>
      </c>
      <c r="P18" s="137">
        <f>O18</f>
        <v>0</v>
      </c>
      <c r="Q18" s="137">
        <f>P18</f>
        <v>0</v>
      </c>
      <c r="R18" s="137">
        <f>Q18</f>
        <v>0</v>
      </c>
      <c r="S18" s="137">
        <f>R18</f>
        <v>0</v>
      </c>
      <c r="T18" s="137">
        <f>S18</f>
        <v>0</v>
      </c>
      <c r="U18" s="137">
        <f t="shared" ref="U18:AF18" si="11">T18</f>
        <v>0</v>
      </c>
      <c r="V18" s="137">
        <f t="shared" si="11"/>
        <v>0</v>
      </c>
      <c r="W18" s="137">
        <f t="shared" si="11"/>
        <v>0</v>
      </c>
      <c r="X18" s="137">
        <f t="shared" si="11"/>
        <v>0</v>
      </c>
      <c r="Y18" s="137">
        <f t="shared" si="11"/>
        <v>0</v>
      </c>
      <c r="Z18" s="137">
        <f t="shared" si="11"/>
        <v>0</v>
      </c>
      <c r="AA18" s="137">
        <f t="shared" si="11"/>
        <v>0</v>
      </c>
      <c r="AB18" s="137">
        <f t="shared" si="11"/>
        <v>0</v>
      </c>
      <c r="AC18" s="137">
        <f t="shared" si="11"/>
        <v>0</v>
      </c>
      <c r="AD18" s="137">
        <f t="shared" si="11"/>
        <v>0</v>
      </c>
      <c r="AE18" s="137">
        <f t="shared" si="11"/>
        <v>0</v>
      </c>
      <c r="AF18" s="137">
        <f t="shared" si="11"/>
        <v>0</v>
      </c>
      <c r="AG18" s="137">
        <f>AF18</f>
        <v>0</v>
      </c>
      <c r="AH18" s="137">
        <f>AG18</f>
        <v>0</v>
      </c>
    </row>
    <row r="19" spans="1:35" ht="25.5">
      <c r="A19" s="135" t="s">
        <v>147</v>
      </c>
      <c r="B19" s="137"/>
      <c r="C19" s="137"/>
      <c r="D19" s="137">
        <f>C19+'2-ф2'!D15-'1-Ф3'!D17-кр!C8</f>
        <v>0</v>
      </c>
      <c r="E19" s="137">
        <f>D19+'2-ф2'!E15-'1-Ф3'!E17-кр!D8</f>
        <v>22.89336186666667</v>
      </c>
      <c r="F19" s="137">
        <f>E19+'2-ф2'!F15-'1-Ф3'!F17-кр!E8</f>
        <v>98.07377570666668</v>
      </c>
      <c r="G19" s="137">
        <f>F19+'2-ф2'!G15-'1-Ф3'!G17-кр!F8</f>
        <v>438.79129410039593</v>
      </c>
      <c r="H19" s="137">
        <f>G19+'2-ф2'!H15-'1-Ф3'!H17-кр!G8</f>
        <v>781.23225105635606</v>
      </c>
      <c r="I19" s="137">
        <f>H19+'2-ф2'!I15-'1-Ф3'!I17-кр!H8</f>
        <v>1125.396646574547</v>
      </c>
      <c r="J19" s="137">
        <f>I19+'2-ф2'!J15-'1-Ф3'!J17-кр!I8</f>
        <v>1551.2277087594048</v>
      </c>
      <c r="K19" s="137">
        <f>J19+'2-ф2'!K15-'1-Ф3'!K17-кр!J8</f>
        <v>1977.0587709442625</v>
      </c>
      <c r="L19" s="137">
        <f>K19+'2-ф2'!L15-'1-Ф3'!L17-кр!K8</f>
        <v>0</v>
      </c>
      <c r="M19" s="137">
        <f>L19+'2-ф2'!M15-'1-Ф3'!M17-кр!L8</f>
        <v>0</v>
      </c>
      <c r="N19" s="137">
        <f>M19+'2-ф2'!N15-'1-Ф3'!N17-кр!M8</f>
        <v>0</v>
      </c>
      <c r="O19" s="137">
        <f>N19+'2-ф2'!O15-'1-Ф3'!O17-кр!N8</f>
        <v>0</v>
      </c>
      <c r="P19" s="137">
        <f>O19</f>
        <v>0</v>
      </c>
      <c r="Q19" s="137">
        <f>P19+'2-ф2'!Q15-'1-Ф3'!Q17</f>
        <v>0</v>
      </c>
      <c r="R19" s="137">
        <f>Q19+'2-ф2'!R15-'1-Ф3'!R17</f>
        <v>0</v>
      </c>
      <c r="S19" s="137">
        <f>R19+'2-ф2'!S15-'1-Ф3'!S17</f>
        <v>0</v>
      </c>
      <c r="T19" s="137">
        <f>S19+'2-ф2'!T15-'1-Ф3'!T17</f>
        <v>0</v>
      </c>
      <c r="U19" s="137">
        <f>T19+'2-ф2'!U15-'1-Ф3'!U17</f>
        <v>0</v>
      </c>
      <c r="V19" s="137">
        <f>U19+'2-ф2'!V15-'1-Ф3'!V17</f>
        <v>0</v>
      </c>
      <c r="W19" s="137">
        <f>V19+'2-ф2'!W15-'1-Ф3'!W17</f>
        <v>0</v>
      </c>
      <c r="X19" s="137">
        <f>W19+'2-ф2'!X15-'1-Ф3'!X17</f>
        <v>0</v>
      </c>
      <c r="Y19" s="137">
        <f>X19+'2-ф2'!Y15-'1-Ф3'!Y17</f>
        <v>0</v>
      </c>
      <c r="Z19" s="137">
        <f>Y19+'2-ф2'!Z15-'1-Ф3'!Z17</f>
        <v>0</v>
      </c>
      <c r="AA19" s="137">
        <f>Z19+'2-ф2'!AA15-'1-Ф3'!AA17</f>
        <v>0</v>
      </c>
      <c r="AB19" s="137">
        <f>AA19+'2-ф2'!AB15-'1-Ф3'!AB17</f>
        <v>0</v>
      </c>
      <c r="AC19" s="137">
        <f>AB19</f>
        <v>0</v>
      </c>
      <c r="AD19" s="137">
        <f>AC19+'2-ф2'!AD15-'1-Ф3'!AD17</f>
        <v>0</v>
      </c>
      <c r="AE19" s="137">
        <f>AD19+'2-ф2'!AE15-'1-Ф3'!AE17</f>
        <v>0</v>
      </c>
      <c r="AF19" s="137">
        <f>AE19+'2-ф2'!AF15-'1-Ф3'!AF17</f>
        <v>0</v>
      </c>
      <c r="AG19" s="137">
        <f>AF19+'2-ф2'!AG15-'1-Ф3'!AG17</f>
        <v>0</v>
      </c>
      <c r="AH19" s="137">
        <f>AG19+'2-ф2'!AH15-'1-Ф3'!AH17</f>
        <v>0</v>
      </c>
      <c r="AI19" s="124"/>
    </row>
    <row r="20" spans="1:35">
      <c r="A20" s="135" t="s">
        <v>149</v>
      </c>
      <c r="B20" s="137"/>
      <c r="C20" s="137"/>
      <c r="D20" s="131"/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7"/>
      <c r="Q20" s="131"/>
      <c r="R20" s="131"/>
      <c r="S20" s="131"/>
      <c r="T20" s="131"/>
      <c r="U20" s="131"/>
      <c r="V20" s="131"/>
      <c r="W20" s="131"/>
      <c r="X20" s="131"/>
      <c r="Y20" s="131"/>
      <c r="Z20" s="131"/>
      <c r="AA20" s="131"/>
      <c r="AB20" s="131"/>
      <c r="AC20" s="137">
        <f>AB20</f>
        <v>0</v>
      </c>
      <c r="AD20" s="137"/>
      <c r="AE20" s="137"/>
      <c r="AF20" s="137"/>
      <c r="AG20" s="137"/>
      <c r="AH20" s="137"/>
    </row>
    <row r="21" spans="1:35" ht="15" customHeight="1">
      <c r="A21" s="130" t="s">
        <v>150</v>
      </c>
      <c r="B21" s="131"/>
      <c r="C21" s="131">
        <f t="shared" ref="C21:AH21" si="12">SUM(C22:C23)</f>
        <v>0</v>
      </c>
      <c r="D21" s="131">
        <f t="shared" si="12"/>
        <v>3924.5763200000001</v>
      </c>
      <c r="E21" s="131">
        <f t="shared" si="12"/>
        <v>12888.070944000001</v>
      </c>
      <c r="F21" s="131">
        <f t="shared" si="12"/>
        <v>58408.717438924999</v>
      </c>
      <c r="G21" s="131">
        <f t="shared" si="12"/>
        <v>58704.164049593157</v>
      </c>
      <c r="H21" s="131">
        <f t="shared" si="12"/>
        <v>58999.610660261314</v>
      </c>
      <c r="I21" s="131">
        <f t="shared" si="12"/>
        <v>72999.610660261314</v>
      </c>
      <c r="J21" s="131">
        <f t="shared" si="12"/>
        <v>72999.610660261314</v>
      </c>
      <c r="K21" s="131">
        <f t="shared" si="12"/>
        <v>72999.610660261314</v>
      </c>
      <c r="L21" s="131">
        <f t="shared" si="12"/>
        <v>75402.500493390427</v>
      </c>
      <c r="M21" s="131">
        <f t="shared" si="12"/>
        <v>74397.133820145216</v>
      </c>
      <c r="N21" s="131">
        <f t="shared" si="12"/>
        <v>73391.767146900005</v>
      </c>
      <c r="O21" s="131">
        <f t="shared" si="12"/>
        <v>72386.400473654794</v>
      </c>
      <c r="P21" s="131">
        <f t="shared" si="12"/>
        <v>72386.400473654794</v>
      </c>
      <c r="Q21" s="131">
        <f t="shared" si="12"/>
        <v>71381.033800409583</v>
      </c>
      <c r="R21" s="131">
        <f t="shared" si="12"/>
        <v>70375.667127164372</v>
      </c>
      <c r="S21" s="131">
        <f t="shared" si="12"/>
        <v>69370.300453919161</v>
      </c>
      <c r="T21" s="131">
        <f t="shared" si="12"/>
        <v>68364.93378067395</v>
      </c>
      <c r="U21" s="131">
        <f t="shared" si="12"/>
        <v>67359.567107428738</v>
      </c>
      <c r="V21" s="131">
        <f t="shared" si="12"/>
        <v>66354.200434183527</v>
      </c>
      <c r="W21" s="131">
        <f t="shared" si="12"/>
        <v>65348.833760938323</v>
      </c>
      <c r="X21" s="131">
        <f t="shared" si="12"/>
        <v>64343.46708769312</v>
      </c>
      <c r="Y21" s="131">
        <f t="shared" si="12"/>
        <v>63338.100414447916</v>
      </c>
      <c r="Z21" s="131">
        <f t="shared" si="12"/>
        <v>62332.733741202712</v>
      </c>
      <c r="AA21" s="131">
        <f t="shared" si="12"/>
        <v>61327.367067957508</v>
      </c>
      <c r="AB21" s="131">
        <f t="shared" si="12"/>
        <v>60322.000394712304</v>
      </c>
      <c r="AC21" s="131">
        <f t="shared" si="12"/>
        <v>60322.000394712304</v>
      </c>
      <c r="AD21" s="131">
        <f t="shared" si="12"/>
        <v>48257.600315769858</v>
      </c>
      <c r="AE21" s="131">
        <f t="shared" si="12"/>
        <v>36193.200236827412</v>
      </c>
      <c r="AF21" s="131">
        <f t="shared" si="12"/>
        <v>24128.800157884965</v>
      </c>
      <c r="AG21" s="131">
        <f t="shared" si="12"/>
        <v>12064.40007894251</v>
      </c>
      <c r="AH21" s="131">
        <f t="shared" si="12"/>
        <v>4.1836756281554699E-11</v>
      </c>
    </row>
    <row r="22" spans="1:35">
      <c r="A22" s="135" t="s">
        <v>148</v>
      </c>
      <c r="B22" s="137"/>
      <c r="C22" s="131"/>
      <c r="D22" s="137">
        <f>кр!C12</f>
        <v>3924.5763200000001</v>
      </c>
      <c r="E22" s="137">
        <f>кр!D12</f>
        <v>12888.070944000001</v>
      </c>
      <c r="F22" s="137">
        <f>кр!E12</f>
        <v>58408.717438924999</v>
      </c>
      <c r="G22" s="137">
        <f>кр!F12</f>
        <v>58704.164049593157</v>
      </c>
      <c r="H22" s="137">
        <f>кр!G12</f>
        <v>58999.610660261314</v>
      </c>
      <c r="I22" s="137">
        <f>кр!H12</f>
        <v>72999.610660261314</v>
      </c>
      <c r="J22" s="137">
        <f>кр!I12</f>
        <v>72999.610660261314</v>
      </c>
      <c r="K22" s="137">
        <f>кр!J12</f>
        <v>72999.610660261314</v>
      </c>
      <c r="L22" s="137">
        <f>кр!K12</f>
        <v>75402.500493390427</v>
      </c>
      <c r="M22" s="137">
        <f>кр!L12</f>
        <v>74397.133820145216</v>
      </c>
      <c r="N22" s="137">
        <f>кр!M12</f>
        <v>73391.767146900005</v>
      </c>
      <c r="O22" s="137">
        <f>кр!N12</f>
        <v>72386.400473654794</v>
      </c>
      <c r="P22" s="137">
        <f>кр!O12</f>
        <v>72386.400473654794</v>
      </c>
      <c r="Q22" s="137">
        <f>кр!P12</f>
        <v>71381.033800409583</v>
      </c>
      <c r="R22" s="137">
        <f>кр!Q12</f>
        <v>70375.667127164372</v>
      </c>
      <c r="S22" s="137">
        <f>кр!R12</f>
        <v>69370.300453919161</v>
      </c>
      <c r="T22" s="137">
        <f>кр!S12</f>
        <v>68364.93378067395</v>
      </c>
      <c r="U22" s="137">
        <f>кр!T12</f>
        <v>67359.567107428738</v>
      </c>
      <c r="V22" s="137">
        <f>кр!U12</f>
        <v>66354.200434183527</v>
      </c>
      <c r="W22" s="137">
        <f>кр!V12</f>
        <v>65348.833760938323</v>
      </c>
      <c r="X22" s="137">
        <f>кр!W12</f>
        <v>64343.46708769312</v>
      </c>
      <c r="Y22" s="137">
        <f>кр!X12</f>
        <v>63338.100414447916</v>
      </c>
      <c r="Z22" s="137">
        <f>кр!Y12</f>
        <v>62332.733741202712</v>
      </c>
      <c r="AA22" s="137">
        <f>кр!Z12</f>
        <v>61327.367067957508</v>
      </c>
      <c r="AB22" s="137">
        <f>кр!AA12</f>
        <v>60322.000394712304</v>
      </c>
      <c r="AC22" s="137">
        <f>кр!AB12</f>
        <v>60322.000394712304</v>
      </c>
      <c r="AD22" s="137">
        <f>кр!AO12</f>
        <v>48257.600315769858</v>
      </c>
      <c r="AE22" s="137">
        <f>кр!BB12</f>
        <v>36193.200236827412</v>
      </c>
      <c r="AF22" s="137">
        <f>кр!BO12</f>
        <v>24128.800157884965</v>
      </c>
      <c r="AG22" s="137">
        <f>кр!CB12</f>
        <v>12064.40007894251</v>
      </c>
      <c r="AH22" s="137">
        <f>кр!CO12</f>
        <v>4.1836756281554699E-11</v>
      </c>
    </row>
    <row r="23" spans="1:35" ht="15" hidden="1" customHeight="1">
      <c r="A23" s="135" t="s">
        <v>151</v>
      </c>
      <c r="B23" s="137"/>
      <c r="C23" s="137"/>
      <c r="D23" s="137">
        <f>C23</f>
        <v>0</v>
      </c>
      <c r="E23" s="137">
        <f>D23</f>
        <v>0</v>
      </c>
      <c r="F23" s="137">
        <f t="shared" ref="F23:AH23" si="13">E23</f>
        <v>0</v>
      </c>
      <c r="G23" s="137">
        <f t="shared" si="13"/>
        <v>0</v>
      </c>
      <c r="H23" s="137">
        <f t="shared" si="13"/>
        <v>0</v>
      </c>
      <c r="I23" s="137">
        <f t="shared" si="13"/>
        <v>0</v>
      </c>
      <c r="J23" s="137">
        <f t="shared" si="13"/>
        <v>0</v>
      </c>
      <c r="K23" s="137">
        <f t="shared" si="13"/>
        <v>0</v>
      </c>
      <c r="L23" s="137">
        <f t="shared" si="13"/>
        <v>0</v>
      </c>
      <c r="M23" s="137">
        <f t="shared" si="13"/>
        <v>0</v>
      </c>
      <c r="N23" s="137">
        <f t="shared" si="13"/>
        <v>0</v>
      </c>
      <c r="O23" s="137">
        <f t="shared" si="13"/>
        <v>0</v>
      </c>
      <c r="P23" s="137">
        <f t="shared" si="13"/>
        <v>0</v>
      </c>
      <c r="Q23" s="137">
        <f t="shared" si="13"/>
        <v>0</v>
      </c>
      <c r="R23" s="137">
        <f t="shared" si="13"/>
        <v>0</v>
      </c>
      <c r="S23" s="137">
        <f t="shared" si="13"/>
        <v>0</v>
      </c>
      <c r="T23" s="137">
        <f t="shared" si="13"/>
        <v>0</v>
      </c>
      <c r="U23" s="137">
        <f t="shared" si="13"/>
        <v>0</v>
      </c>
      <c r="V23" s="137">
        <f t="shared" si="13"/>
        <v>0</v>
      </c>
      <c r="W23" s="137">
        <f t="shared" si="13"/>
        <v>0</v>
      </c>
      <c r="X23" s="137">
        <f t="shared" si="13"/>
        <v>0</v>
      </c>
      <c r="Y23" s="137">
        <f t="shared" si="13"/>
        <v>0</v>
      </c>
      <c r="Z23" s="137">
        <f t="shared" si="13"/>
        <v>0</v>
      </c>
      <c r="AA23" s="137">
        <f t="shared" si="13"/>
        <v>0</v>
      </c>
      <c r="AB23" s="137">
        <f t="shared" si="13"/>
        <v>0</v>
      </c>
      <c r="AC23" s="131">
        <f>AB23</f>
        <v>0</v>
      </c>
      <c r="AD23" s="137">
        <f t="shared" si="13"/>
        <v>0</v>
      </c>
      <c r="AE23" s="137">
        <f t="shared" si="13"/>
        <v>0</v>
      </c>
      <c r="AF23" s="137">
        <f t="shared" si="13"/>
        <v>0</v>
      </c>
      <c r="AG23" s="137">
        <f t="shared" si="13"/>
        <v>0</v>
      </c>
      <c r="AH23" s="137">
        <f t="shared" si="13"/>
        <v>0</v>
      </c>
    </row>
    <row r="24" spans="1:35" s="134" customFormat="1" ht="15" customHeight="1">
      <c r="A24" s="130" t="s">
        <v>152</v>
      </c>
      <c r="B24" s="131"/>
      <c r="C24" s="131">
        <f t="shared" ref="C24:AH24" si="14">SUM(C25:C26)</f>
        <v>0</v>
      </c>
      <c r="D24" s="131">
        <f t="shared" si="14"/>
        <v>1681.9612800000002</v>
      </c>
      <c r="E24" s="131">
        <f t="shared" si="14"/>
        <v>5500.5656141333338</v>
      </c>
      <c r="F24" s="131">
        <f t="shared" si="14"/>
        <v>24934.233698118333</v>
      </c>
      <c r="G24" s="131">
        <f t="shared" si="14"/>
        <v>23949.00531913857</v>
      </c>
      <c r="H24" s="131">
        <f t="shared" si="14"/>
        <v>22962.053501596576</v>
      </c>
      <c r="I24" s="131">
        <f t="shared" si="14"/>
        <v>27846.758269491715</v>
      </c>
      <c r="J24" s="131">
        <f t="shared" si="14"/>
        <v>26649.796370720185</v>
      </c>
      <c r="K24" s="131">
        <f t="shared" si="14"/>
        <v>25452.834471948656</v>
      </c>
      <c r="L24" s="131">
        <f t="shared" si="14"/>
        <v>24255.872573177126</v>
      </c>
      <c r="M24" s="131">
        <f t="shared" si="14"/>
        <v>23044.893817045675</v>
      </c>
      <c r="N24" s="131">
        <f t="shared" si="14"/>
        <v>21839.779699841492</v>
      </c>
      <c r="O24" s="131">
        <f t="shared" si="14"/>
        <v>20640.530221564568</v>
      </c>
      <c r="P24" s="131">
        <f t="shared" si="14"/>
        <v>20640.530221564568</v>
      </c>
      <c r="Q24" s="131">
        <f t="shared" si="14"/>
        <v>20196.609757126607</v>
      </c>
      <c r="R24" s="131">
        <f t="shared" si="14"/>
        <v>19758.553931615912</v>
      </c>
      <c r="S24" s="131">
        <f t="shared" si="14"/>
        <v>19326.362745032486</v>
      </c>
      <c r="T24" s="131">
        <f t="shared" si="14"/>
        <v>18900.036197376317</v>
      </c>
      <c r="U24" s="131">
        <f t="shared" si="14"/>
        <v>18479.574288647415</v>
      </c>
      <c r="V24" s="131">
        <f t="shared" si="14"/>
        <v>18064.977018845777</v>
      </c>
      <c r="W24" s="131">
        <f t="shared" si="14"/>
        <v>17656.244387971397</v>
      </c>
      <c r="X24" s="131">
        <f t="shared" si="14"/>
        <v>17253.376396024287</v>
      </c>
      <c r="Y24" s="131">
        <f t="shared" si="14"/>
        <v>16856.373043004438</v>
      </c>
      <c r="Z24" s="131">
        <f t="shared" si="14"/>
        <v>16465.234328911851</v>
      </c>
      <c r="AA24" s="131">
        <f t="shared" si="14"/>
        <v>16079.960253746531</v>
      </c>
      <c r="AB24" s="131">
        <f t="shared" si="14"/>
        <v>15700.550817508474</v>
      </c>
      <c r="AC24" s="131">
        <f t="shared" si="14"/>
        <v>15700.550817508474</v>
      </c>
      <c r="AD24" s="131">
        <f t="shared" si="14"/>
        <v>24930.775215909489</v>
      </c>
      <c r="AE24" s="131">
        <f t="shared" si="14"/>
        <v>30972.705042870548</v>
      </c>
      <c r="AF24" s="131">
        <f t="shared" si="14"/>
        <v>34769.703960845465</v>
      </c>
      <c r="AG24" s="131">
        <f t="shared" si="14"/>
        <v>45105.765071721034</v>
      </c>
      <c r="AH24" s="131">
        <f t="shared" si="14"/>
        <v>61591.116226715152</v>
      </c>
    </row>
    <row r="25" spans="1:35" ht="15" customHeight="1">
      <c r="A25" s="135" t="s">
        <v>153</v>
      </c>
      <c r="B25" s="131"/>
      <c r="C25" s="137"/>
      <c r="D25" s="137">
        <f>C25+'1-Ф3'!D30</f>
        <v>1681.9612800000002</v>
      </c>
      <c r="E25" s="137">
        <f>D25+'1-Ф3'!E30</f>
        <v>5523.4589760000008</v>
      </c>
      <c r="F25" s="137">
        <f>E25+'1-Ф3'!F30</f>
        <v>25032.307473825</v>
      </c>
      <c r="G25" s="137">
        <f>F25+'1-Ф3'!G30</f>
        <v>25158.927449825638</v>
      </c>
      <c r="H25" s="137">
        <f>G25+'1-Ф3'!H30</f>
        <v>25285.547425826277</v>
      </c>
      <c r="I25" s="137">
        <f>H25+'1-Ф3'!I30</f>
        <v>31285.547425826277</v>
      </c>
      <c r="J25" s="137">
        <f>I25+'1-Ф3'!J30</f>
        <v>31285.547425826277</v>
      </c>
      <c r="K25" s="137">
        <f>J25+'1-Ф3'!K30</f>
        <v>31285.547425826277</v>
      </c>
      <c r="L25" s="137">
        <f>K25+'1-Ф3'!L30</f>
        <v>31285.547425826277</v>
      </c>
      <c r="M25" s="137">
        <f>L25+'1-Ф3'!M30</f>
        <v>31285.547425826277</v>
      </c>
      <c r="N25" s="137">
        <f>M25+'1-Ф3'!N30</f>
        <v>31285.547425826277</v>
      </c>
      <c r="O25" s="137">
        <f>N25+'1-Ф3'!O30</f>
        <v>31285.547425826277</v>
      </c>
      <c r="P25" s="137">
        <f>O25</f>
        <v>31285.547425826277</v>
      </c>
      <c r="Q25" s="137">
        <f>P25+'1-Ф3'!Q30</f>
        <v>31285.547425826277</v>
      </c>
      <c r="R25" s="137">
        <f>Q25+'1-Ф3'!R30</f>
        <v>31285.547425826277</v>
      </c>
      <c r="S25" s="137">
        <f>R25+'1-Ф3'!S30</f>
        <v>31285.547425826277</v>
      </c>
      <c r="T25" s="137">
        <f>S25+'1-Ф3'!T30</f>
        <v>31285.547425826277</v>
      </c>
      <c r="U25" s="137">
        <f>T25+'1-Ф3'!U30</f>
        <v>31285.547425826277</v>
      </c>
      <c r="V25" s="137">
        <f>U25+'1-Ф3'!V30</f>
        <v>31285.547425826277</v>
      </c>
      <c r="W25" s="137">
        <f>V25+'1-Ф3'!W30</f>
        <v>31285.547425826277</v>
      </c>
      <c r="X25" s="137">
        <f>W25+'1-Ф3'!X30</f>
        <v>31285.547425826277</v>
      </c>
      <c r="Y25" s="137">
        <f>X25+'1-Ф3'!Y30</f>
        <v>31285.547425826277</v>
      </c>
      <c r="Z25" s="137">
        <f>Y25+'1-Ф3'!Z30</f>
        <v>31285.547425826277</v>
      </c>
      <c r="AA25" s="137">
        <f>Z25+'1-Ф3'!AA30</f>
        <v>31285.547425826277</v>
      </c>
      <c r="AB25" s="137">
        <f>AA25+'1-Ф3'!AB30</f>
        <v>31285.547425826277</v>
      </c>
      <c r="AC25" s="137">
        <f>AB25</f>
        <v>31285.547425826277</v>
      </c>
      <c r="AD25" s="137">
        <f>AC25+'1-Ф3'!AD30</f>
        <v>31285.547425826277</v>
      </c>
      <c r="AE25" s="137">
        <f>AD25+'1-Ф3'!AE30</f>
        <v>31285.547425826277</v>
      </c>
      <c r="AF25" s="137">
        <f>AE25+'1-Ф3'!AF30</f>
        <v>31285.547425826277</v>
      </c>
      <c r="AG25" s="137">
        <f>AF25+'1-Ф3'!AG30</f>
        <v>31285.547425826277</v>
      </c>
      <c r="AH25" s="137">
        <f>AG25+'1-Ф3'!AH30</f>
        <v>31285.547425826277</v>
      </c>
    </row>
    <row r="26" spans="1:35" ht="15" customHeight="1">
      <c r="A26" s="135" t="s">
        <v>154</v>
      </c>
      <c r="B26" s="131"/>
      <c r="C26" s="137"/>
      <c r="D26" s="137">
        <f>'2-ф2'!D19</f>
        <v>0</v>
      </c>
      <c r="E26" s="137">
        <f>'2-ф2'!E19</f>
        <v>-22.89336186666667</v>
      </c>
      <c r="F26" s="137">
        <f>'2-ф2'!F19</f>
        <v>-98.07377570666668</v>
      </c>
      <c r="G26" s="137">
        <f>'2-ф2'!G19</f>
        <v>-1209.9221306870677</v>
      </c>
      <c r="H26" s="137">
        <f>'2-ф2'!H19</f>
        <v>-2323.4939242296996</v>
      </c>
      <c r="I26" s="137">
        <f>'2-ф2'!I19</f>
        <v>-3438.789156334562</v>
      </c>
      <c r="J26" s="137">
        <f>'2-ф2'!J19</f>
        <v>-4635.7510551060914</v>
      </c>
      <c r="K26" s="137">
        <f>'2-ф2'!K19</f>
        <v>-5832.7129538776207</v>
      </c>
      <c r="L26" s="137">
        <f>'2-ф2'!L19</f>
        <v>-7029.6748526491501</v>
      </c>
      <c r="M26" s="137">
        <f>'2-ф2'!M19</f>
        <v>-8240.6536087805998</v>
      </c>
      <c r="N26" s="137">
        <f>'2-ф2'!N19</f>
        <v>-9445.767725984786</v>
      </c>
      <c r="O26" s="137">
        <f>'2-ф2'!O19</f>
        <v>-10645.017204261709</v>
      </c>
      <c r="P26" s="137">
        <f>'2-ф2'!P19</f>
        <v>-10645.017204261709</v>
      </c>
      <c r="Q26" s="137">
        <f>'2-ф2'!Q19</f>
        <v>-11088.937668699667</v>
      </c>
      <c r="R26" s="137">
        <f>'2-ф2'!R19</f>
        <v>-11526.993494210363</v>
      </c>
      <c r="S26" s="137">
        <f>'2-ф2'!S19</f>
        <v>-11959.184680793793</v>
      </c>
      <c r="T26" s="137">
        <f>'2-ф2'!T19</f>
        <v>-12385.511228449959</v>
      </c>
      <c r="U26" s="137">
        <f>'2-ф2'!U19</f>
        <v>-12805.973137178862</v>
      </c>
      <c r="V26" s="137">
        <f>'2-ф2'!V19</f>
        <v>-13220.570406980502</v>
      </c>
      <c r="W26" s="137">
        <f>'2-ф2'!W19</f>
        <v>-13629.303037854877</v>
      </c>
      <c r="X26" s="137">
        <f>'2-ф2'!X19</f>
        <v>-14032.17102980199</v>
      </c>
      <c r="Y26" s="137">
        <f>'2-ф2'!Y19</f>
        <v>-14429.174382821839</v>
      </c>
      <c r="Z26" s="137">
        <f>'2-ф2'!Z19</f>
        <v>-14820.313096914424</v>
      </c>
      <c r="AA26" s="137">
        <f>'2-ф2'!AA19</f>
        <v>-15205.587172079746</v>
      </c>
      <c r="AB26" s="137">
        <f>'2-ф2'!AB19</f>
        <v>-15584.996608317802</v>
      </c>
      <c r="AC26" s="137">
        <f>'2-ф2'!AC19</f>
        <v>-15584.996608317802</v>
      </c>
      <c r="AD26" s="137">
        <f>'2-ф2'!AD19</f>
        <v>-6354.7722099167877</v>
      </c>
      <c r="AE26" s="137">
        <f>'2-ф2'!AE19+'2-ф2'!AE35</f>
        <v>-312.84238295572868</v>
      </c>
      <c r="AF26" s="137">
        <f>'2-ф2'!AF19+'2-ф2'!AF35</f>
        <v>3484.1565350191868</v>
      </c>
      <c r="AG26" s="137">
        <f>'2-ф2'!AG19+'2-ф2'!AG35</f>
        <v>13820.217645894758</v>
      </c>
      <c r="AH26" s="137">
        <f>'2-ф2'!AH19+'2-ф2'!AH35</f>
        <v>30305.568800888879</v>
      </c>
    </row>
    <row r="28" spans="1:35">
      <c r="A28" s="140" t="s">
        <v>155</v>
      </c>
      <c r="B28" s="141"/>
      <c r="C28" s="142">
        <f t="shared" ref="C28:AH28" si="15">C5-C16</f>
        <v>0</v>
      </c>
      <c r="D28" s="143">
        <f t="shared" si="15"/>
        <v>0</v>
      </c>
      <c r="E28" s="143">
        <f t="shared" si="15"/>
        <v>0</v>
      </c>
      <c r="F28" s="143">
        <f t="shared" si="15"/>
        <v>0</v>
      </c>
      <c r="G28" s="143">
        <f t="shared" si="15"/>
        <v>2.8157833919976838E-2</v>
      </c>
      <c r="H28" s="143">
        <f t="shared" si="15"/>
        <v>5.6315667854505591E-2</v>
      </c>
      <c r="I28" s="143">
        <f t="shared" si="15"/>
        <v>8.4473501774482429E-2</v>
      </c>
      <c r="J28" s="143">
        <f t="shared" si="15"/>
        <v>0.11263133569445927</v>
      </c>
      <c r="K28" s="143">
        <f t="shared" si="15"/>
        <v>0.14078916959988419</v>
      </c>
      <c r="L28" s="143">
        <f t="shared" si="15"/>
        <v>0.16894700353441294</v>
      </c>
      <c r="M28" s="143">
        <f t="shared" si="15"/>
        <v>0.19710483748349361</v>
      </c>
      <c r="N28" s="143">
        <f t="shared" si="15"/>
        <v>0.22526267138891853</v>
      </c>
      <c r="O28" s="143">
        <f t="shared" si="15"/>
        <v>0.25342050532344729</v>
      </c>
      <c r="P28" s="143">
        <f>P5-P16</f>
        <v>0.25342050532344729</v>
      </c>
      <c r="Q28" s="143">
        <f t="shared" si="15"/>
        <v>0.2534205053379992</v>
      </c>
      <c r="R28" s="143">
        <f t="shared" si="15"/>
        <v>0.2534205053379992</v>
      </c>
      <c r="S28" s="143">
        <f t="shared" si="15"/>
        <v>0.25342050532344729</v>
      </c>
      <c r="T28" s="143">
        <f t="shared" si="15"/>
        <v>0.25342050532344729</v>
      </c>
      <c r="U28" s="143">
        <f t="shared" si="15"/>
        <v>0.25342050532344729</v>
      </c>
      <c r="V28" s="143">
        <f t="shared" si="15"/>
        <v>0.2534205053379992</v>
      </c>
      <c r="W28" s="143">
        <f t="shared" si="15"/>
        <v>0.25342050532344729</v>
      </c>
      <c r="X28" s="143">
        <f t="shared" si="15"/>
        <v>0.25342050530889537</v>
      </c>
      <c r="Y28" s="143">
        <f t="shared" si="15"/>
        <v>0.25342050532344729</v>
      </c>
      <c r="Z28" s="143">
        <f t="shared" si="15"/>
        <v>0.25342050532344729</v>
      </c>
      <c r="AA28" s="143">
        <f t="shared" si="15"/>
        <v>0.25342050530889537</v>
      </c>
      <c r="AB28" s="143">
        <f t="shared" si="15"/>
        <v>0.25342050530889537</v>
      </c>
      <c r="AC28" s="143">
        <f t="shared" si="15"/>
        <v>0.25342050530889537</v>
      </c>
      <c r="AD28" s="143">
        <f t="shared" si="15"/>
        <v>0.25342050529434346</v>
      </c>
      <c r="AE28" s="143">
        <f t="shared" si="15"/>
        <v>0.25342050525068771</v>
      </c>
      <c r="AF28" s="143">
        <f t="shared" si="15"/>
        <v>0.25342050524341175</v>
      </c>
      <c r="AG28" s="143">
        <f t="shared" si="15"/>
        <v>0.25342050522885984</v>
      </c>
      <c r="AH28" s="143">
        <f t="shared" si="15"/>
        <v>0.25342050524341175</v>
      </c>
    </row>
    <row r="29" spans="1:35" hidden="1"/>
    <row r="30" spans="1:35" hidden="1">
      <c r="A30" s="123" t="s">
        <v>154</v>
      </c>
      <c r="P30" s="124">
        <f>P26</f>
        <v>-10645.017204261709</v>
      </c>
      <c r="Q30" s="124">
        <v>109.48954266069855</v>
      </c>
      <c r="R30" s="124">
        <v>109.48954266069855</v>
      </c>
      <c r="S30" s="124">
        <v>108.45296951069854</v>
      </c>
      <c r="T30" s="124">
        <v>106.37982321069852</v>
      </c>
      <c r="U30" s="124">
        <v>103.27010376069849</v>
      </c>
      <c r="V30" s="124">
        <v>103.27010376069849</v>
      </c>
      <c r="W30" s="124">
        <v>103.27010376069849</v>
      </c>
      <c r="X30" s="124">
        <v>99.201253408558813</v>
      </c>
      <c r="Y30" s="124">
        <v>99.201253408558813</v>
      </c>
      <c r="Z30" s="124">
        <v>99.201253408558813</v>
      </c>
      <c r="AA30" s="124">
        <v>99.201253408558813</v>
      </c>
      <c r="AB30" s="124">
        <v>82.616083008558789</v>
      </c>
      <c r="AC30" s="124">
        <f>AC26-P26</f>
        <v>-4939.9794040560937</v>
      </c>
      <c r="AD30" s="124">
        <f>AD26-AC26</f>
        <v>9230.2243984010147</v>
      </c>
      <c r="AE30" s="124">
        <f>AE26-AD26</f>
        <v>6041.929826961059</v>
      </c>
      <c r="AF30" s="124">
        <f>AF26-AE26</f>
        <v>3796.9989179749155</v>
      </c>
      <c r="AG30" s="124">
        <f>AG26-AF26</f>
        <v>10336.061110875571</v>
      </c>
      <c r="AH30" s="124">
        <f>AH26-AG26</f>
        <v>16485.351154994121</v>
      </c>
    </row>
    <row r="31" spans="1:35" hidden="1">
      <c r="A31" s="123" t="s">
        <v>156</v>
      </c>
      <c r="P31" s="124">
        <f>(P8+P10+P13+P14)-(C8+C10+C13+C14)</f>
        <v>8409.1048583248485</v>
      </c>
      <c r="AC31" s="124">
        <f>(AC8+AC10+AC13+AC14)-(P8+P10+P13+P14)</f>
        <v>-1793.6244434989994</v>
      </c>
      <c r="AD31" s="124">
        <f>(AD8+AD10+AD13+AD14)-(AC8+AC10+AC13+AC14)</f>
        <v>-3415.7887095790584</v>
      </c>
      <c r="AE31" s="124">
        <f>(AE8+AE10+AE13+AE14)-(AD8+AD10+AD13+AD14)</f>
        <v>-2936.2329347042469</v>
      </c>
      <c r="AF31" s="124">
        <f>(AF8+AF10+AF13+AF14)-(AE8+AE10+AE13+AE14)</f>
        <v>-263.45877054254379</v>
      </c>
      <c r="AG31" s="124">
        <f>(AG8+AG10+AG13+AG14)-(AF8+AF10+AF13+AF14)</f>
        <v>0</v>
      </c>
      <c r="AH31" s="124">
        <f>(AH8+AH10+AH13+AH14)-(AG8+AG10+AG13+AG14)</f>
        <v>0</v>
      </c>
    </row>
    <row r="32" spans="1:35" hidden="1">
      <c r="A32" s="123" t="s">
        <v>157</v>
      </c>
      <c r="P32" s="124">
        <f>P9-C9</f>
        <v>582.21081495535691</v>
      </c>
      <c r="AC32" s="124">
        <f>AC9-P9</f>
        <v>313.08484260602677</v>
      </c>
      <c r="AD32" s="124">
        <f>AD9-AC9</f>
        <v>104.36161420200892</v>
      </c>
      <c r="AE32" s="124">
        <f>AE9-AD9</f>
        <v>208.72322840401739</v>
      </c>
      <c r="AF32" s="124">
        <f>AF9-AE9</f>
        <v>104.36161420200915</v>
      </c>
      <c r="AG32" s="124">
        <f>AG9-AF9</f>
        <v>0</v>
      </c>
      <c r="AH32" s="124">
        <f>AH9-AG9</f>
        <v>0</v>
      </c>
    </row>
    <row r="33" spans="1:34" hidden="1">
      <c r="A33" s="123" t="s">
        <v>158</v>
      </c>
      <c r="P33" s="124">
        <f>(P21+P17)-(C21+C17)</f>
        <v>72386.400473654794</v>
      </c>
      <c r="AC33" s="124">
        <f>(AC21+AC17)-(P21+P17)</f>
        <v>-12064.40007894249</v>
      </c>
      <c r="AD33" s="124">
        <f>(AD21+AD17)-(AC21+AC17)</f>
        <v>-12064.400078942446</v>
      </c>
      <c r="AE33" s="124">
        <f>(AE21+AE17)-(AD21+AD17)</f>
        <v>-12064.400078942446</v>
      </c>
      <c r="AF33" s="124">
        <f>(AF21+AF17)-(AE21+AE17)</f>
        <v>-12064.400078942446</v>
      </c>
      <c r="AG33" s="124">
        <f>(AG21+AG17)-(AF21+AF17)</f>
        <v>-12064.400078942455</v>
      </c>
      <c r="AH33" s="124">
        <f>(AH21+AH17)-(AG21+AG17)</f>
        <v>-12064.400078942468</v>
      </c>
    </row>
    <row r="34" spans="1:34" hidden="1">
      <c r="A34" s="123" t="s">
        <v>159</v>
      </c>
      <c r="P34" s="124">
        <f>-P31+P32+P33</f>
        <v>64559.506430285299</v>
      </c>
      <c r="Q34" s="124">
        <f t="shared" ref="Q34:AB34" si="16">Q31+Q32+Q33</f>
        <v>0</v>
      </c>
      <c r="R34" s="124">
        <f t="shared" si="16"/>
        <v>0</v>
      </c>
      <c r="S34" s="124">
        <f t="shared" si="16"/>
        <v>0</v>
      </c>
      <c r="T34" s="124">
        <f t="shared" si="16"/>
        <v>0</v>
      </c>
      <c r="U34" s="124">
        <f t="shared" si="16"/>
        <v>0</v>
      </c>
      <c r="V34" s="124">
        <f t="shared" si="16"/>
        <v>0</v>
      </c>
      <c r="W34" s="124">
        <f t="shared" si="16"/>
        <v>0</v>
      </c>
      <c r="X34" s="124">
        <f t="shared" si="16"/>
        <v>0</v>
      </c>
      <c r="Y34" s="124">
        <f t="shared" si="16"/>
        <v>0</v>
      </c>
      <c r="Z34" s="124">
        <f t="shared" si="16"/>
        <v>0</v>
      </c>
      <c r="AA34" s="124">
        <f t="shared" si="16"/>
        <v>0</v>
      </c>
      <c r="AB34" s="124">
        <f t="shared" si="16"/>
        <v>0</v>
      </c>
      <c r="AC34" s="124">
        <f t="shared" ref="AC34:AH34" si="17">-AC31+AC32+AC33</f>
        <v>-9957.690792837464</v>
      </c>
      <c r="AD34" s="124">
        <f t="shared" si="17"/>
        <v>-8544.2497551613778</v>
      </c>
      <c r="AE34" s="124">
        <f t="shared" si="17"/>
        <v>-8919.4439158341811</v>
      </c>
      <c r="AF34" s="124">
        <f t="shared" si="17"/>
        <v>-11696.579694197893</v>
      </c>
      <c r="AG34" s="124">
        <f t="shared" si="17"/>
        <v>-12064.400078942455</v>
      </c>
      <c r="AH34" s="124">
        <f t="shared" si="17"/>
        <v>-12064.400078942468</v>
      </c>
    </row>
    <row r="35" spans="1:34" hidden="1">
      <c r="A35" s="123" t="s">
        <v>84</v>
      </c>
      <c r="P35" s="124">
        <f>'2-ф2'!P14</f>
        <v>2610.3198750000001</v>
      </c>
      <c r="Q35" s="124"/>
      <c r="R35" s="124"/>
      <c r="S35" s="124"/>
      <c r="T35" s="124"/>
      <c r="U35" s="124"/>
      <c r="V35" s="124"/>
      <c r="W35" s="124"/>
      <c r="X35" s="124"/>
      <c r="Y35" s="124"/>
      <c r="Z35" s="124"/>
      <c r="AA35" s="124"/>
      <c r="AB35" s="124"/>
      <c r="AC35" s="124">
        <f>'2-ф2'!AC14</f>
        <v>3480.4265</v>
      </c>
      <c r="AD35" s="124">
        <f>'2-ф2'!AD14</f>
        <v>3480.4265</v>
      </c>
      <c r="AE35" s="124">
        <f>'2-ф2'!AE14</f>
        <v>3480.4265</v>
      </c>
      <c r="AF35" s="124">
        <f>'2-ф2'!AF14</f>
        <v>3480.4265</v>
      </c>
      <c r="AG35" s="124">
        <f>'2-ф2'!AG14</f>
        <v>3480.4265</v>
      </c>
      <c r="AH35" s="124">
        <f>'2-ф2'!AH14</f>
        <v>3480.4265</v>
      </c>
    </row>
    <row r="36" spans="1:34" hidden="1">
      <c r="A36" s="123" t="s">
        <v>160</v>
      </c>
      <c r="P36" s="124">
        <f>-'1-Ф3'!P23</f>
        <v>-82788.948799999998</v>
      </c>
      <c r="Q36" s="124"/>
      <c r="R36" s="124"/>
      <c r="S36" s="124"/>
      <c r="T36" s="124"/>
      <c r="U36" s="124"/>
      <c r="V36" s="124"/>
      <c r="W36" s="124"/>
      <c r="X36" s="124"/>
      <c r="Y36" s="124"/>
      <c r="Z36" s="124"/>
      <c r="AA36" s="124"/>
      <c r="AB36" s="124"/>
      <c r="AC36" s="124">
        <f>-'1-Ф3'!AC23</f>
        <v>0</v>
      </c>
      <c r="AD36" s="124">
        <f>-'1-Ф3'!AD23</f>
        <v>0</v>
      </c>
      <c r="AE36" s="124">
        <f>-'1-Ф3'!AE23</f>
        <v>0</v>
      </c>
      <c r="AF36" s="124">
        <f>-'1-Ф3'!AF23</f>
        <v>0</v>
      </c>
      <c r="AG36" s="124">
        <f>-'1-Ф3'!AG23</f>
        <v>0</v>
      </c>
      <c r="AH36" s="124">
        <f>-'1-Ф3'!AH23</f>
        <v>0</v>
      </c>
    </row>
    <row r="37" spans="1:34" hidden="1">
      <c r="A37" s="123" t="s">
        <v>161</v>
      </c>
      <c r="P37" s="124">
        <f>P30+P34+P35+P36+P25</f>
        <v>5021.4077268498731</v>
      </c>
      <c r="Q37" s="124"/>
      <c r="R37" s="124"/>
      <c r="S37" s="124"/>
      <c r="T37" s="124"/>
      <c r="U37" s="124"/>
      <c r="V37" s="124"/>
      <c r="W37" s="124"/>
      <c r="X37" s="124"/>
      <c r="Y37" s="124"/>
      <c r="Z37" s="124"/>
      <c r="AA37" s="124"/>
      <c r="AB37" s="124"/>
      <c r="AC37" s="124">
        <f t="shared" ref="AC37:AH37" si="18">AC30+AC34+AC35+AC36</f>
        <v>-11417.243696893558</v>
      </c>
      <c r="AD37" s="124">
        <f t="shared" si="18"/>
        <v>4166.4011432396364</v>
      </c>
      <c r="AE37" s="124">
        <f t="shared" si="18"/>
        <v>602.91241112687794</v>
      </c>
      <c r="AF37" s="124">
        <f t="shared" si="18"/>
        <v>-4419.1542762229783</v>
      </c>
      <c r="AG37" s="124">
        <f t="shared" si="18"/>
        <v>1752.0875319331158</v>
      </c>
      <c r="AH37" s="124">
        <f t="shared" si="18"/>
        <v>7901.3775760516528</v>
      </c>
    </row>
    <row r="38" spans="1:34" hidden="1"/>
    <row r="39" spans="1:34" hidden="1">
      <c r="A39" s="123" t="s">
        <v>167</v>
      </c>
      <c r="P39" s="124">
        <f>'1-Ф3'!P36</f>
        <v>12727.484031730244</v>
      </c>
      <c r="AC39" s="124">
        <f>'1-Ф3'!AC36</f>
        <v>-12043.413382105573</v>
      </c>
      <c r="AD39" s="124">
        <f>'1-Ф3'!AD36</f>
        <v>3957.6779148355999</v>
      </c>
      <c r="AE39" s="124">
        <f>'1-Ф3'!AE36</f>
        <v>185.46595431882088</v>
      </c>
      <c r="AF39" s="124">
        <f>'1-Ф3'!AF36</f>
        <v>-4627.8775046270093</v>
      </c>
      <c r="AG39" s="124">
        <f>'1-Ф3'!AG36</f>
        <v>1752.0875319331026</v>
      </c>
      <c r="AH39" s="124">
        <f>'1-Ф3'!AH36</f>
        <v>7901.3775760516655</v>
      </c>
    </row>
    <row r="40" spans="1:34" hidden="1">
      <c r="A40" s="140" t="s">
        <v>155</v>
      </c>
      <c r="B40" s="141"/>
      <c r="C40" s="142"/>
      <c r="D40" s="143"/>
      <c r="E40" s="143"/>
      <c r="F40" s="143"/>
      <c r="G40" s="143"/>
      <c r="H40" s="143"/>
      <c r="I40" s="143"/>
      <c r="J40" s="143"/>
      <c r="K40" s="143"/>
      <c r="L40" s="143"/>
      <c r="M40" s="143"/>
      <c r="N40" s="143"/>
      <c r="O40" s="143"/>
      <c r="P40" s="143">
        <f>P39-P37</f>
        <v>7706.076304880371</v>
      </c>
      <c r="Q40" s="143">
        <f t="shared" ref="Q40:AB40" si="19">Q39-Q37</f>
        <v>0</v>
      </c>
      <c r="R40" s="143">
        <f t="shared" si="19"/>
        <v>0</v>
      </c>
      <c r="S40" s="143">
        <f t="shared" si="19"/>
        <v>0</v>
      </c>
      <c r="T40" s="143">
        <f t="shared" si="19"/>
        <v>0</v>
      </c>
      <c r="U40" s="143">
        <f t="shared" si="19"/>
        <v>0</v>
      </c>
      <c r="V40" s="143">
        <f t="shared" si="19"/>
        <v>0</v>
      </c>
      <c r="W40" s="143">
        <f t="shared" si="19"/>
        <v>0</v>
      </c>
      <c r="X40" s="143">
        <f t="shared" si="19"/>
        <v>0</v>
      </c>
      <c r="Y40" s="143">
        <f t="shared" si="19"/>
        <v>0</v>
      </c>
      <c r="Z40" s="143">
        <f t="shared" si="19"/>
        <v>0</v>
      </c>
      <c r="AA40" s="143">
        <f t="shared" si="19"/>
        <v>0</v>
      </c>
      <c r="AB40" s="143">
        <f t="shared" si="19"/>
        <v>0</v>
      </c>
      <c r="AC40" s="143">
        <f t="shared" ref="AC40:AH40" si="20">AC39-AC37</f>
        <v>-626.16968521201488</v>
      </c>
      <c r="AD40" s="143">
        <f t="shared" si="20"/>
        <v>-208.72322840403649</v>
      </c>
      <c r="AE40" s="143">
        <f t="shared" si="20"/>
        <v>-417.44645680805706</v>
      </c>
      <c r="AF40" s="143">
        <f t="shared" si="20"/>
        <v>-208.72322840403103</v>
      </c>
      <c r="AG40" s="143">
        <f t="shared" si="20"/>
        <v>-1.3187673175707459E-11</v>
      </c>
      <c r="AH40" s="143">
        <f t="shared" si="20"/>
        <v>1.2732925824820995E-11</v>
      </c>
    </row>
  </sheetData>
  <mergeCells count="4">
    <mergeCell ref="A3:A4"/>
    <mergeCell ref="B3:B4"/>
    <mergeCell ref="D3:P3"/>
    <mergeCell ref="Q3:AC3"/>
  </mergeCells>
  <pageMargins left="0.35433070866141736" right="0.23622047244094491" top="0.78740157480314965" bottom="0.23622047244094491" header="0.4" footer="0.15748031496062992"/>
  <pageSetup paperSize="9" orientation="landscape" r:id="rId1"/>
  <headerFooter alignWithMargins="0">
    <oddHeader>&amp;RПриложение 3</oddHeader>
  </headerFooter>
  <picture r:id="rId2"/>
</worksheet>
</file>

<file path=xl/worksheets/sheet4.xml><?xml version="1.0" encoding="utf-8"?>
<worksheet xmlns="http://schemas.openxmlformats.org/spreadsheetml/2006/main" xmlns:r="http://schemas.openxmlformats.org/officeDocument/2006/relationships">
  <sheetPr enableFormatConditionsCalculation="0">
    <tabColor rgb="FF00B050"/>
  </sheetPr>
  <dimension ref="A1:J37"/>
  <sheetViews>
    <sheetView showGridLines="0" workbookViewId="0">
      <pane ySplit="3" topLeftCell="A4" activePane="bottomLeft" state="frozen"/>
      <selection activeCell="A34" sqref="A34"/>
      <selection pane="bottomLeft" activeCell="C8" sqref="C8"/>
    </sheetView>
  </sheetViews>
  <sheetFormatPr defaultRowHeight="12.75"/>
  <cols>
    <col min="1" max="1" width="30.7109375" style="78" customWidth="1"/>
    <col min="2" max="2" width="18.7109375" style="78" customWidth="1"/>
    <col min="3" max="3" width="17" style="78" customWidth="1"/>
    <col min="4" max="4" width="3.42578125" style="78" customWidth="1"/>
    <col min="5" max="8" width="9.140625" style="78"/>
    <col min="9" max="9" width="11.5703125" style="78" customWidth="1"/>
    <col min="10" max="13" width="9.140625" style="78"/>
    <col min="14" max="14" width="14.42578125" style="78" customWidth="1"/>
    <col min="15" max="16384" width="9.140625" style="78"/>
  </cols>
  <sheetData>
    <row r="1" spans="1:8" ht="15.75" customHeight="1">
      <c r="A1" s="365" t="s">
        <v>43</v>
      </c>
      <c r="B1" s="365"/>
      <c r="C1" s="365"/>
    </row>
    <row r="2" spans="1:8" ht="12" customHeight="1">
      <c r="A2" s="62"/>
      <c r="G2" s="328"/>
      <c r="H2" s="328"/>
    </row>
    <row r="3" spans="1:8">
      <c r="A3" s="79" t="s">
        <v>31</v>
      </c>
      <c r="B3" s="80" t="s">
        <v>44</v>
      </c>
      <c r="C3" s="80" t="s">
        <v>9</v>
      </c>
    </row>
    <row r="4" spans="1:8">
      <c r="A4" s="62" t="s">
        <v>170</v>
      </c>
    </row>
    <row r="5" spans="1:8">
      <c r="A5" s="81" t="s">
        <v>115</v>
      </c>
      <c r="B5" s="81"/>
      <c r="C5" s="149">
        <v>148</v>
      </c>
    </row>
    <row r="6" spans="1:8">
      <c r="A6" s="81" t="s">
        <v>180</v>
      </c>
      <c r="B6" s="81"/>
      <c r="C6" s="251">
        <v>4.8</v>
      </c>
    </row>
    <row r="7" spans="1:8">
      <c r="A7" s="81" t="s">
        <v>80</v>
      </c>
      <c r="B7" s="81"/>
      <c r="C7" s="163">
        <f>18%*C8+C31*(1-C19)*(1-C8)</f>
        <v>0.10006</v>
      </c>
      <c r="E7" s="78" t="s">
        <v>181</v>
      </c>
    </row>
    <row r="8" spans="1:8">
      <c r="A8" s="81" t="s">
        <v>317</v>
      </c>
      <c r="B8" s="81"/>
      <c r="C8" s="84">
        <v>0.3</v>
      </c>
    </row>
    <row r="9" spans="1:8">
      <c r="A9" s="81" t="s">
        <v>162</v>
      </c>
      <c r="B9" s="81"/>
      <c r="C9" s="85" t="s">
        <v>65</v>
      </c>
    </row>
    <row r="10" spans="1:8">
      <c r="A10" s="62" t="s">
        <v>163</v>
      </c>
    </row>
    <row r="11" spans="1:8">
      <c r="A11" s="81" t="s">
        <v>52</v>
      </c>
      <c r="B11" s="83" t="s">
        <v>46</v>
      </c>
      <c r="C11" s="84">
        <v>0.1</v>
      </c>
    </row>
    <row r="12" spans="1:8">
      <c r="A12" s="81" t="s">
        <v>57</v>
      </c>
      <c r="B12" s="83" t="s">
        <v>46</v>
      </c>
      <c r="C12" s="84">
        <v>0.05</v>
      </c>
    </row>
    <row r="13" spans="1:8">
      <c r="A13" s="81" t="s">
        <v>53</v>
      </c>
      <c r="B13" s="83" t="s">
        <v>46</v>
      </c>
      <c r="C13" s="84">
        <v>0.1</v>
      </c>
    </row>
    <row r="14" spans="1:8">
      <c r="A14" s="81" t="s">
        <v>55</v>
      </c>
      <c r="B14" s="83" t="s">
        <v>46</v>
      </c>
      <c r="C14" s="84">
        <f>11%</f>
        <v>0.11</v>
      </c>
      <c r="E14" s="78" t="s">
        <v>384</v>
      </c>
    </row>
    <row r="15" spans="1:8">
      <c r="A15" s="81" t="s">
        <v>128</v>
      </c>
      <c r="B15" s="83" t="s">
        <v>65</v>
      </c>
      <c r="C15" s="86">
        <v>15.999000000000001</v>
      </c>
    </row>
    <row r="16" spans="1:8">
      <c r="A16" s="81" t="s">
        <v>2</v>
      </c>
      <c r="B16" s="83"/>
      <c r="C16" s="256">
        <f>1.5%*0.3</f>
        <v>4.4999999999999997E-3</v>
      </c>
      <c r="E16" s="78" t="s">
        <v>384</v>
      </c>
    </row>
    <row r="17" spans="1:9">
      <c r="A17" s="81" t="s">
        <v>45</v>
      </c>
      <c r="B17" s="83" t="s">
        <v>46</v>
      </c>
      <c r="C17" s="256">
        <f>12%</f>
        <v>0.12</v>
      </c>
    </row>
    <row r="18" spans="1:9">
      <c r="A18" s="81" t="s">
        <v>67</v>
      </c>
      <c r="B18" s="81"/>
      <c r="C18" s="82">
        <v>1.1200000000000001</v>
      </c>
    </row>
    <row r="19" spans="1:9">
      <c r="A19" s="81" t="s">
        <v>64</v>
      </c>
      <c r="B19" s="81"/>
      <c r="C19" s="84">
        <f>20%*0.3</f>
        <v>0.06</v>
      </c>
      <c r="E19" s="78" t="s">
        <v>384</v>
      </c>
    </row>
    <row r="20" spans="1:9">
      <c r="A20" s="62" t="s">
        <v>169</v>
      </c>
    </row>
    <row r="21" spans="1:9">
      <c r="A21" s="81" t="s">
        <v>279</v>
      </c>
      <c r="B21" s="83" t="s">
        <v>280</v>
      </c>
      <c r="C21" s="149">
        <v>570.4</v>
      </c>
      <c r="I21" s="328">
        <f>'1-Ф3'!$B$2</f>
        <v>0</v>
      </c>
    </row>
    <row r="22" spans="1:9">
      <c r="A22" s="81" t="s">
        <v>281</v>
      </c>
      <c r="B22" s="83" t="s">
        <v>46</v>
      </c>
      <c r="C22" s="254">
        <v>0.58399999999999996</v>
      </c>
    </row>
    <row r="23" spans="1:9">
      <c r="A23" s="81" t="s">
        <v>255</v>
      </c>
      <c r="B23" s="83" t="s">
        <v>46</v>
      </c>
      <c r="C23" s="254">
        <f>1/3</f>
        <v>0.33333333333333331</v>
      </c>
    </row>
    <row r="24" spans="1:9">
      <c r="A24" s="81" t="s">
        <v>288</v>
      </c>
      <c r="B24" s="83" t="s">
        <v>46</v>
      </c>
      <c r="C24" s="254">
        <v>0.9</v>
      </c>
    </row>
    <row r="25" spans="1:9" ht="25.5">
      <c r="A25" s="170" t="s">
        <v>282</v>
      </c>
      <c r="B25" s="83" t="s">
        <v>46</v>
      </c>
      <c r="C25" s="254">
        <v>0.5</v>
      </c>
    </row>
    <row r="26" spans="1:9">
      <c r="A26" s="170" t="s">
        <v>283</v>
      </c>
      <c r="B26" s="83" t="s">
        <v>46</v>
      </c>
      <c r="C26" s="163">
        <f>1-C25</f>
        <v>0.5</v>
      </c>
      <c r="D26" s="255"/>
    </row>
    <row r="27" spans="1:9" ht="25.5">
      <c r="A27" s="170" t="s">
        <v>284</v>
      </c>
      <c r="B27" s="229" t="s">
        <v>285</v>
      </c>
      <c r="C27" s="230">
        <v>50</v>
      </c>
    </row>
    <row r="28" spans="1:9" ht="25.5">
      <c r="A28" s="170" t="s">
        <v>286</v>
      </c>
      <c r="B28" s="229" t="s">
        <v>285</v>
      </c>
      <c r="C28" s="230">
        <v>2</v>
      </c>
    </row>
    <row r="29" spans="1:9">
      <c r="A29" s="170" t="s">
        <v>287</v>
      </c>
      <c r="B29" s="229" t="s">
        <v>285</v>
      </c>
      <c r="C29" s="332">
        <f>MAX(Производство!E1:L1)</f>
        <v>131.59895833333337</v>
      </c>
      <c r="E29" s="208"/>
    </row>
    <row r="30" spans="1:9">
      <c r="A30" s="62" t="s">
        <v>171</v>
      </c>
    </row>
    <row r="31" spans="1:9">
      <c r="A31" s="81" t="s">
        <v>62</v>
      </c>
      <c r="B31" s="83" t="s">
        <v>46</v>
      </c>
      <c r="C31" s="84">
        <v>7.0000000000000007E-2</v>
      </c>
    </row>
    <row r="32" spans="1:9">
      <c r="A32" s="81" t="s">
        <v>172</v>
      </c>
      <c r="B32" s="83" t="s">
        <v>173</v>
      </c>
      <c r="C32" s="251">
        <v>7</v>
      </c>
    </row>
    <row r="33" spans="1:10">
      <c r="A33" s="81" t="s">
        <v>174</v>
      </c>
      <c r="B33" s="83" t="s">
        <v>176</v>
      </c>
      <c r="C33" s="149">
        <v>9</v>
      </c>
    </row>
    <row r="34" spans="1:10">
      <c r="A34" s="81" t="s">
        <v>175</v>
      </c>
      <c r="B34" s="83" t="s">
        <v>176</v>
      </c>
      <c r="C34" s="149">
        <v>9</v>
      </c>
    </row>
    <row r="36" spans="1:10">
      <c r="A36" s="62" t="s">
        <v>231</v>
      </c>
      <c r="J36" s="151" t="s">
        <v>318</v>
      </c>
    </row>
    <row r="37" spans="1:10">
      <c r="A37" s="81" t="s">
        <v>301</v>
      </c>
      <c r="B37" s="83" t="s">
        <v>302</v>
      </c>
      <c r="C37" s="325">
        <f>1321/1.036</f>
        <v>1275.0965250965251</v>
      </c>
      <c r="E37" s="78" t="s">
        <v>342</v>
      </c>
      <c r="J37" s="331">
        <f>C37*$C$18</f>
        <v>1428.1081081081081</v>
      </c>
    </row>
  </sheetData>
  <mergeCells count="1">
    <mergeCell ref="A1:C1"/>
  </mergeCells>
  <phoneticPr fontId="3" type="noConversion"/>
  <pageMargins left="0.75" right="0.75" top="0.37" bottom="0.25" header="0.25" footer="0.2"/>
  <pageSetup paperSize="9" orientation="landscape" r:id="rId1"/>
  <headerFooter alignWithMargins="0"/>
  <picture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I18"/>
  <sheetViews>
    <sheetView showGridLines="0" workbookViewId="0">
      <pane ySplit="4" topLeftCell="A5" activePane="bottomLeft" state="frozen"/>
      <selection activeCell="C8" sqref="C8"/>
      <selection pane="bottomLeft" activeCell="C5" sqref="C5:I8"/>
    </sheetView>
  </sheetViews>
  <sheetFormatPr defaultColWidth="8.85546875" defaultRowHeight="12.75"/>
  <cols>
    <col min="1" max="1" width="29.7109375" style="78" customWidth="1"/>
    <col min="2" max="2" width="13.28515625" style="78" customWidth="1"/>
    <col min="3" max="7" width="8.85546875" style="78" customWidth="1"/>
    <col min="8" max="16384" width="8.85546875" style="78"/>
  </cols>
  <sheetData>
    <row r="1" spans="1:9">
      <c r="A1" s="62" t="s">
        <v>340</v>
      </c>
    </row>
    <row r="2" spans="1:9">
      <c r="A2" s="62"/>
    </row>
    <row r="3" spans="1:9">
      <c r="A3" s="78" t="s">
        <v>47</v>
      </c>
      <c r="C3" s="144"/>
      <c r="D3" s="144"/>
      <c r="E3" s="144"/>
      <c r="F3" s="144"/>
      <c r="G3" s="144"/>
    </row>
    <row r="4" spans="1:9" ht="25.5">
      <c r="A4" s="326" t="s">
        <v>105</v>
      </c>
      <c r="B4" s="327" t="s">
        <v>316</v>
      </c>
      <c r="C4" s="317">
        <v>2012</v>
      </c>
      <c r="D4" s="317">
        <f t="shared" ref="D4:I4" si="0">C4+1</f>
        <v>2013</v>
      </c>
      <c r="E4" s="317">
        <f t="shared" si="0"/>
        <v>2014</v>
      </c>
      <c r="F4" s="317">
        <f t="shared" si="0"/>
        <v>2015</v>
      </c>
      <c r="G4" s="317">
        <f t="shared" si="0"/>
        <v>2016</v>
      </c>
      <c r="H4" s="317">
        <f t="shared" si="0"/>
        <v>2017</v>
      </c>
      <c r="I4" s="317">
        <f t="shared" si="0"/>
        <v>2018</v>
      </c>
    </row>
    <row r="5" spans="1:9">
      <c r="A5" s="81" t="s">
        <v>303</v>
      </c>
      <c r="B5" s="247" t="s">
        <v>315</v>
      </c>
      <c r="C5" s="150">
        <f>Производство!E76*Исх!$C$37/1000</f>
        <v>0</v>
      </c>
      <c r="D5" s="150">
        <f>Производство!F76*Исх!$C$37/1000</f>
        <v>9556.9198610038602</v>
      </c>
      <c r="E5" s="150">
        <f>Производство!G76*Исх!$C$37/1000</f>
        <v>16636.119758043755</v>
      </c>
      <c r="F5" s="150">
        <f>Производство!H76*Исх!$C$37/1000</f>
        <v>11592.189831402829</v>
      </c>
      <c r="G5" s="150">
        <f>Производство!I76*Исх!$C$37/1000</f>
        <v>14661.022986769623</v>
      </c>
      <c r="H5" s="150">
        <f>Производство!J76*Исх!$C$37/1000</f>
        <v>16865.308854710423</v>
      </c>
      <c r="I5" s="150">
        <f>Производство!K76*Исх!$C$37/1000</f>
        <v>17760.473681691117</v>
      </c>
    </row>
    <row r="6" spans="1:9">
      <c r="A6" s="81" t="s">
        <v>377</v>
      </c>
      <c r="B6" s="247" t="s">
        <v>380</v>
      </c>
      <c r="C6" s="150">
        <f>Производство!E81*Инв!$C$16/Исх!$C$18</f>
        <v>0</v>
      </c>
      <c r="D6" s="150">
        <f>Производство!F81*Инв!$C$16/Исх!$C$18</f>
        <v>0</v>
      </c>
      <c r="E6" s="150">
        <f>Производство!G81*Инв!$C$16/Исх!$C$18</f>
        <v>6249.9999999999991</v>
      </c>
      <c r="F6" s="150">
        <f>Производство!H81*Инв!$C$16/Исх!$C$18</f>
        <v>7499.9999999999991</v>
      </c>
      <c r="G6" s="150">
        <f>Производство!I81*Инв!$C$16/Исх!$C$18</f>
        <v>624.99999999999989</v>
      </c>
      <c r="H6" s="150">
        <f>Производство!J81*Инв!$C$16/Исх!$C$18</f>
        <v>4375</v>
      </c>
      <c r="I6" s="150">
        <f>Производство!K81*Инв!$C$16/Исх!$C$18</f>
        <v>8750</v>
      </c>
    </row>
    <row r="7" spans="1:9">
      <c r="A7" s="81" t="s">
        <v>341</v>
      </c>
      <c r="B7" s="247" t="s">
        <v>367</v>
      </c>
      <c r="C7" s="150">
        <f>B18*9</f>
        <v>7666.9819922779898</v>
      </c>
      <c r="D7" s="150">
        <f>$B$18*12</f>
        <v>10222.642656370654</v>
      </c>
      <c r="E7" s="150">
        <f t="shared" ref="E7:I7" si="1">$B$18*12</f>
        <v>10222.642656370654</v>
      </c>
      <c r="F7" s="150">
        <f t="shared" si="1"/>
        <v>10222.642656370654</v>
      </c>
      <c r="G7" s="150">
        <f t="shared" si="1"/>
        <v>10222.642656370654</v>
      </c>
      <c r="H7" s="150">
        <f t="shared" si="1"/>
        <v>10222.642656370654</v>
      </c>
      <c r="I7" s="150">
        <f t="shared" si="1"/>
        <v>10222.642656370654</v>
      </c>
    </row>
    <row r="8" spans="1:9">
      <c r="A8" s="159" t="s">
        <v>96</v>
      </c>
      <c r="B8" s="159"/>
      <c r="C8" s="158">
        <f>SUM(C5:C7)</f>
        <v>7666.9819922779898</v>
      </c>
      <c r="D8" s="158">
        <f t="shared" ref="D8:I8" si="2">SUM(D5:D7)</f>
        <v>19779.562517374514</v>
      </c>
      <c r="E8" s="158">
        <f t="shared" si="2"/>
        <v>33108.762414414407</v>
      </c>
      <c r="F8" s="158">
        <f t="shared" si="2"/>
        <v>29314.832487773485</v>
      </c>
      <c r="G8" s="158">
        <f t="shared" si="2"/>
        <v>25508.665643140277</v>
      </c>
      <c r="H8" s="158">
        <f t="shared" si="2"/>
        <v>31462.951511081075</v>
      </c>
      <c r="I8" s="158">
        <f t="shared" si="2"/>
        <v>36733.116338061773</v>
      </c>
    </row>
    <row r="10" spans="1:9">
      <c r="A10" s="62" t="s">
        <v>385</v>
      </c>
    </row>
    <row r="12" spans="1:9">
      <c r="A12" s="81" t="s">
        <v>330</v>
      </c>
      <c r="B12" s="333">
        <v>4</v>
      </c>
      <c r="C12" s="81" t="s">
        <v>331</v>
      </c>
    </row>
    <row r="13" spans="1:9">
      <c r="A13" s="81" t="s">
        <v>332</v>
      </c>
      <c r="B13" s="333">
        <v>650</v>
      </c>
      <c r="C13" s="81" t="s">
        <v>268</v>
      </c>
    </row>
    <row r="14" spans="1:9">
      <c r="A14" s="81" t="s">
        <v>333</v>
      </c>
      <c r="B14" s="163">
        <f>Исх!C22</f>
        <v>0.58399999999999996</v>
      </c>
      <c r="C14" s="81"/>
    </row>
    <row r="15" spans="1:9">
      <c r="A15" s="81" t="s">
        <v>334</v>
      </c>
      <c r="B15" s="333">
        <v>22</v>
      </c>
      <c r="C15" s="81" t="s">
        <v>335</v>
      </c>
    </row>
    <row r="16" spans="1:9">
      <c r="A16" s="81" t="s">
        <v>336</v>
      </c>
      <c r="B16" s="150">
        <f>Исх!C37</f>
        <v>1275.0965250965251</v>
      </c>
      <c r="C16" s="81" t="s">
        <v>337</v>
      </c>
    </row>
    <row r="17" spans="1:3">
      <c r="A17" s="81" t="s">
        <v>338</v>
      </c>
      <c r="B17" s="254">
        <v>0.02</v>
      </c>
      <c r="C17" s="81"/>
    </row>
    <row r="18" spans="1:3">
      <c r="A18" s="159" t="s">
        <v>339</v>
      </c>
      <c r="B18" s="320">
        <f>B12*B13*B14*B15*B16*B17/1000</f>
        <v>851.8868880308878</v>
      </c>
      <c r="C18" s="159" t="s">
        <v>65</v>
      </c>
    </row>
  </sheetData>
  <phoneticPr fontId="3" type="noConversion"/>
  <pageMargins left="0.49" right="0.18" top="0.3" bottom="2.11" header="0.2" footer="0.3"/>
  <pageSetup paperSize="9" orientation="landscape" r:id="rId1"/>
  <headerFooter alignWithMargins="0"/>
  <picture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</sheetPr>
  <dimension ref="A1:N29"/>
  <sheetViews>
    <sheetView showGridLines="0"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L19" sqref="L19"/>
    </sheetView>
  </sheetViews>
  <sheetFormatPr defaultColWidth="8.85546875" defaultRowHeight="12.75"/>
  <cols>
    <col min="1" max="1" width="42.28515625" style="78" customWidth="1"/>
    <col min="2" max="2" width="10.42578125" style="78" customWidth="1"/>
    <col min="3" max="3" width="10.28515625" style="78" customWidth="1"/>
    <col min="4" max="4" width="10.7109375" style="78" customWidth="1"/>
    <col min="5" max="11" width="8.28515625" style="78" customWidth="1"/>
    <col min="12" max="16384" width="8.85546875" style="78"/>
  </cols>
  <sheetData>
    <row r="1" spans="1:14">
      <c r="A1" s="62" t="s">
        <v>296</v>
      </c>
      <c r="B1" s="62"/>
    </row>
    <row r="2" spans="1:14" ht="7.5" customHeight="1">
      <c r="A2" s="62"/>
      <c r="B2" s="62"/>
    </row>
    <row r="3" spans="1:14">
      <c r="A3" s="78" t="s">
        <v>47</v>
      </c>
      <c r="M3" s="328"/>
      <c r="N3" s="328">
        <f>'1-Ф3'!$B$2</f>
        <v>0</v>
      </c>
    </row>
    <row r="4" spans="1:14" ht="25.5">
      <c r="A4" s="314" t="s">
        <v>272</v>
      </c>
      <c r="B4" s="315" t="s">
        <v>238</v>
      </c>
      <c r="C4" s="315" t="s">
        <v>345</v>
      </c>
      <c r="D4" s="315" t="s">
        <v>346</v>
      </c>
      <c r="E4" s="317">
        <v>2012</v>
      </c>
      <c r="F4" s="317">
        <f t="shared" ref="F4:K4" si="0">E4+1</f>
        <v>2013</v>
      </c>
      <c r="G4" s="317">
        <f t="shared" si="0"/>
        <v>2014</v>
      </c>
      <c r="H4" s="317">
        <f t="shared" si="0"/>
        <v>2015</v>
      </c>
      <c r="I4" s="317">
        <f t="shared" si="0"/>
        <v>2016</v>
      </c>
      <c r="J4" s="317">
        <f t="shared" si="0"/>
        <v>2017</v>
      </c>
      <c r="K4" s="317">
        <f t="shared" si="0"/>
        <v>2018</v>
      </c>
    </row>
    <row r="5" spans="1:14" ht="12.75" customHeight="1">
      <c r="A5" s="322" t="s">
        <v>299</v>
      </c>
      <c r="B5" s="269" t="s">
        <v>285</v>
      </c>
      <c r="C5" s="323"/>
      <c r="D5" s="323"/>
      <c r="E5" s="335">
        <f>Производство!E65</f>
        <v>52</v>
      </c>
      <c r="F5" s="335">
        <f>Производство!F65</f>
        <v>52</v>
      </c>
      <c r="G5" s="335">
        <f>Производство!G65</f>
        <v>49.916666666666671</v>
      </c>
      <c r="H5" s="335">
        <f>Производство!H65</f>
        <v>50.791666666666671</v>
      </c>
      <c r="I5" s="335">
        <f>Производство!I65</f>
        <v>54.958333333333343</v>
      </c>
      <c r="J5" s="335">
        <f>Производство!J65</f>
        <v>57.716666666666683</v>
      </c>
      <c r="K5" s="335">
        <f>Производство!K65</f>
        <v>57.198958333333358</v>
      </c>
    </row>
    <row r="6" spans="1:14">
      <c r="A6" s="81" t="s">
        <v>273</v>
      </c>
      <c r="B6" s="83" t="s">
        <v>65</v>
      </c>
      <c r="C6" s="251">
        <f>11*0.7/1.12</f>
        <v>6.8749999999999991</v>
      </c>
      <c r="D6" s="251">
        <f>10.5*1.3/10</f>
        <v>1.365</v>
      </c>
      <c r="E6" s="150">
        <f>$C6*$D6*E$5</f>
        <v>487.98749999999995</v>
      </c>
      <c r="F6" s="150">
        <f t="shared" ref="F6:K10" si="1">$C6*$D6*F$5</f>
        <v>487.98749999999995</v>
      </c>
      <c r="G6" s="150">
        <f t="shared" si="1"/>
        <v>468.43671874999995</v>
      </c>
      <c r="H6" s="150">
        <f t="shared" si="1"/>
        <v>476.64804687499998</v>
      </c>
      <c r="I6" s="150">
        <f t="shared" si="1"/>
        <v>515.74960937499998</v>
      </c>
      <c r="J6" s="150">
        <f t="shared" si="1"/>
        <v>541.63484375000007</v>
      </c>
      <c r="K6" s="150">
        <f t="shared" si="1"/>
        <v>536.7764746093751</v>
      </c>
      <c r="L6" s="78" t="s">
        <v>274</v>
      </c>
    </row>
    <row r="7" spans="1:14">
      <c r="A7" s="170" t="s">
        <v>275</v>
      </c>
      <c r="B7" s="83" t="s">
        <v>65</v>
      </c>
      <c r="C7" s="251">
        <f>C6/2</f>
        <v>3.4374999999999996</v>
      </c>
      <c r="D7" s="251">
        <f>5.3*1.3/10</f>
        <v>0.68899999999999995</v>
      </c>
      <c r="E7" s="150">
        <f>$C7*$D7*E$5</f>
        <v>123.15874999999997</v>
      </c>
      <c r="F7" s="150">
        <f t="shared" si="1"/>
        <v>123.15874999999997</v>
      </c>
      <c r="G7" s="150">
        <f t="shared" si="1"/>
        <v>118.22450520833331</v>
      </c>
      <c r="H7" s="150">
        <f t="shared" si="1"/>
        <v>120.29688802083331</v>
      </c>
      <c r="I7" s="150">
        <f t="shared" si="1"/>
        <v>130.16537760416665</v>
      </c>
      <c r="J7" s="150">
        <f t="shared" si="1"/>
        <v>136.69831770833332</v>
      </c>
      <c r="K7" s="150">
        <f t="shared" si="1"/>
        <v>135.47215787760419</v>
      </c>
      <c r="L7" s="78" t="s">
        <v>363</v>
      </c>
    </row>
    <row r="8" spans="1:14">
      <c r="A8" s="81" t="s">
        <v>276</v>
      </c>
      <c r="B8" s="83" t="s">
        <v>65</v>
      </c>
      <c r="C8" s="251">
        <f>23*0.7/1.12</f>
        <v>14.374999999999996</v>
      </c>
      <c r="D8" s="251">
        <f>5.6*1.3/10</f>
        <v>0.72799999999999998</v>
      </c>
      <c r="E8" s="150">
        <f>$C8*$D8*E$5</f>
        <v>544.17999999999984</v>
      </c>
      <c r="F8" s="150">
        <f t="shared" si="1"/>
        <v>544.17999999999984</v>
      </c>
      <c r="G8" s="150">
        <f t="shared" si="1"/>
        <v>522.37791666666658</v>
      </c>
      <c r="H8" s="150">
        <f t="shared" si="1"/>
        <v>531.53479166666648</v>
      </c>
      <c r="I8" s="150">
        <f t="shared" si="1"/>
        <v>575.13895833333322</v>
      </c>
      <c r="J8" s="150">
        <f t="shared" si="1"/>
        <v>604.00491666666665</v>
      </c>
      <c r="K8" s="150">
        <f t="shared" si="1"/>
        <v>598.5870989583334</v>
      </c>
    </row>
    <row r="9" spans="1:14">
      <c r="A9" s="81" t="s">
        <v>343</v>
      </c>
      <c r="B9" s="83" t="s">
        <v>65</v>
      </c>
      <c r="C9" s="251">
        <f>24*0.75/1.12</f>
        <v>16.071428571428569</v>
      </c>
      <c r="D9" s="251">
        <f>9.6/2.5/10</f>
        <v>0.38400000000000001</v>
      </c>
      <c r="E9" s="150">
        <f>$C9*$D9*E$5</f>
        <v>320.91428571428571</v>
      </c>
      <c r="F9" s="150">
        <f t="shared" si="1"/>
        <v>320.91428571428571</v>
      </c>
      <c r="G9" s="150">
        <f t="shared" si="1"/>
        <v>308.05714285714288</v>
      </c>
      <c r="H9" s="150">
        <f t="shared" si="1"/>
        <v>313.45714285714286</v>
      </c>
      <c r="I9" s="150">
        <f t="shared" si="1"/>
        <v>339.17142857142858</v>
      </c>
      <c r="J9" s="150">
        <f t="shared" si="1"/>
        <v>356.1942857142858</v>
      </c>
      <c r="K9" s="150">
        <f t="shared" si="1"/>
        <v>352.99928571428586</v>
      </c>
    </row>
    <row r="10" spans="1:14">
      <c r="A10" s="81" t="s">
        <v>344</v>
      </c>
      <c r="B10" s="83" t="s">
        <v>65</v>
      </c>
      <c r="C10" s="251">
        <f>23*Исх!$C$6</f>
        <v>110.39999999999999</v>
      </c>
      <c r="D10" s="334">
        <f>0.2*1.3/10</f>
        <v>2.6000000000000002E-2</v>
      </c>
      <c r="E10" s="150">
        <f>$C10*$D10*E$5</f>
        <v>149.26080000000002</v>
      </c>
      <c r="F10" s="150">
        <f t="shared" si="1"/>
        <v>149.26080000000002</v>
      </c>
      <c r="G10" s="150">
        <f t="shared" si="1"/>
        <v>143.28080000000003</v>
      </c>
      <c r="H10" s="150">
        <f t="shared" si="1"/>
        <v>145.79240000000001</v>
      </c>
      <c r="I10" s="150">
        <f t="shared" si="1"/>
        <v>157.75240000000002</v>
      </c>
      <c r="J10" s="150">
        <f t="shared" si="1"/>
        <v>165.66992000000005</v>
      </c>
      <c r="K10" s="150">
        <f t="shared" si="1"/>
        <v>164.18389000000008</v>
      </c>
      <c r="L10" t="s">
        <v>347</v>
      </c>
    </row>
    <row r="11" spans="1:14">
      <c r="A11" s="159" t="s">
        <v>0</v>
      </c>
      <c r="B11" s="316" t="s">
        <v>65</v>
      </c>
      <c r="C11" s="324"/>
      <c r="D11" s="324"/>
      <c r="E11" s="320">
        <f>SUM(E6:E10)</f>
        <v>1625.5013357142852</v>
      </c>
      <c r="F11" s="320">
        <f t="shared" ref="F11:K11" si="2">SUM(F6:F10)</f>
        <v>1625.5013357142852</v>
      </c>
      <c r="G11" s="320">
        <f t="shared" si="2"/>
        <v>1560.3770834821428</v>
      </c>
      <c r="H11" s="320">
        <f t="shared" si="2"/>
        <v>1587.7292694196426</v>
      </c>
      <c r="I11" s="320">
        <f t="shared" si="2"/>
        <v>1717.9777738839284</v>
      </c>
      <c r="J11" s="320">
        <f t="shared" si="2"/>
        <v>1804.2022838392859</v>
      </c>
      <c r="K11" s="320">
        <f t="shared" si="2"/>
        <v>1788.0189071595987</v>
      </c>
    </row>
    <row r="12" spans="1:14" ht="12.75" customHeight="1">
      <c r="A12" s="322" t="s">
        <v>300</v>
      </c>
      <c r="B12" s="269" t="s">
        <v>285</v>
      </c>
      <c r="C12" s="323"/>
      <c r="D12" s="323"/>
      <c r="E12" s="335">
        <f>Производство!E66</f>
        <v>45</v>
      </c>
      <c r="F12" s="335">
        <f>Производство!F66</f>
        <v>56.25</v>
      </c>
      <c r="G12" s="335">
        <f>Производство!G66</f>
        <v>60</v>
      </c>
      <c r="H12" s="335">
        <f>Производство!H66</f>
        <v>62.662499999999994</v>
      </c>
      <c r="I12" s="335">
        <f>Производство!I66</f>
        <v>68.212500000000006</v>
      </c>
      <c r="J12" s="335">
        <f>Производство!J66</f>
        <v>73.273125000000007</v>
      </c>
      <c r="K12" s="335">
        <f>Производство!K66</f>
        <v>74.400000000000006</v>
      </c>
    </row>
    <row r="13" spans="1:14">
      <c r="A13" s="81" t="s">
        <v>273</v>
      </c>
      <c r="B13" s="83" t="s">
        <v>65</v>
      </c>
      <c r="C13" s="297">
        <f>C6</f>
        <v>6.8749999999999991</v>
      </c>
      <c r="D13" s="297">
        <f>D6/2</f>
        <v>0.6825</v>
      </c>
      <c r="E13" s="150">
        <f>$C13*$D13*E$12</f>
        <v>211.14843749999997</v>
      </c>
      <c r="F13" s="150">
        <f t="shared" ref="F13:K13" si="3">$C13*$D13*F$12</f>
        <v>263.93554687499994</v>
      </c>
      <c r="G13" s="150">
        <f t="shared" si="3"/>
        <v>281.53124999999994</v>
      </c>
      <c r="H13" s="150">
        <f t="shared" si="3"/>
        <v>294.02419921874991</v>
      </c>
      <c r="I13" s="150">
        <f t="shared" si="3"/>
        <v>320.06583984374998</v>
      </c>
      <c r="J13" s="150">
        <f t="shared" si="3"/>
        <v>343.81124121093751</v>
      </c>
      <c r="K13" s="150">
        <f t="shared" si="3"/>
        <v>349.09875</v>
      </c>
      <c r="L13" s="78" t="s">
        <v>274</v>
      </c>
    </row>
    <row r="14" spans="1:14">
      <c r="A14" s="170" t="s">
        <v>275</v>
      </c>
      <c r="B14" s="83" t="s">
        <v>65</v>
      </c>
      <c r="C14" s="297">
        <f t="shared" ref="C14:C17" si="4">C7</f>
        <v>3.4374999999999996</v>
      </c>
      <c r="D14" s="297">
        <f t="shared" ref="D14:D17" si="5">D7/2</f>
        <v>0.34449999999999997</v>
      </c>
      <c r="E14" s="150">
        <f t="shared" ref="E14:K17" si="6">$C14*$D14*E$12</f>
        <v>53.289843749999982</v>
      </c>
      <c r="F14" s="150">
        <f>$C14*$D14*F$12</f>
        <v>66.612304687499986</v>
      </c>
      <c r="G14" s="150">
        <f t="shared" si="6"/>
        <v>71.05312499999998</v>
      </c>
      <c r="H14" s="150">
        <f t="shared" si="6"/>
        <v>74.206107421874975</v>
      </c>
      <c r="I14" s="150">
        <f t="shared" si="6"/>
        <v>80.778521484374977</v>
      </c>
      <c r="J14" s="150">
        <f t="shared" si="6"/>
        <v>86.771408496093727</v>
      </c>
      <c r="K14" s="150">
        <f t="shared" si="6"/>
        <v>88.105874999999983</v>
      </c>
    </row>
    <row r="15" spans="1:14">
      <c r="A15" s="81" t="s">
        <v>276</v>
      </c>
      <c r="B15" s="83" t="s">
        <v>65</v>
      </c>
      <c r="C15" s="297">
        <f t="shared" si="4"/>
        <v>14.374999999999996</v>
      </c>
      <c r="D15" s="297">
        <f t="shared" si="5"/>
        <v>0.36399999999999999</v>
      </c>
      <c r="E15" s="150">
        <f t="shared" si="6"/>
        <v>235.46249999999992</v>
      </c>
      <c r="F15" s="150">
        <f t="shared" si="6"/>
        <v>294.32812499999989</v>
      </c>
      <c r="G15" s="150">
        <f t="shared" si="6"/>
        <v>313.94999999999987</v>
      </c>
      <c r="H15" s="150">
        <f t="shared" si="6"/>
        <v>327.88153124999985</v>
      </c>
      <c r="I15" s="150">
        <f t="shared" si="6"/>
        <v>356.92190624999989</v>
      </c>
      <c r="J15" s="150">
        <f t="shared" si="6"/>
        <v>383.40162656249993</v>
      </c>
      <c r="K15" s="150">
        <f t="shared" si="6"/>
        <v>389.29799999999989</v>
      </c>
    </row>
    <row r="16" spans="1:14">
      <c r="A16" s="81" t="s">
        <v>343</v>
      </c>
      <c r="B16" s="83" t="s">
        <v>65</v>
      </c>
      <c r="C16" s="297">
        <f t="shared" si="4"/>
        <v>16.071428571428569</v>
      </c>
      <c r="D16" s="297">
        <f t="shared" si="5"/>
        <v>0.192</v>
      </c>
      <c r="E16" s="150">
        <f t="shared" si="6"/>
        <v>138.85714285714283</v>
      </c>
      <c r="F16" s="150">
        <f t="shared" si="6"/>
        <v>173.57142857142856</v>
      </c>
      <c r="G16" s="150">
        <f t="shared" si="6"/>
        <v>185.14285714285711</v>
      </c>
      <c r="H16" s="150">
        <f t="shared" si="6"/>
        <v>193.35857142857139</v>
      </c>
      <c r="I16" s="150">
        <f t="shared" si="6"/>
        <v>210.4842857142857</v>
      </c>
      <c r="J16" s="150">
        <f t="shared" si="6"/>
        <v>226.09992857142856</v>
      </c>
      <c r="K16" s="150">
        <f t="shared" si="6"/>
        <v>229.57714285714286</v>
      </c>
    </row>
    <row r="17" spans="1:11">
      <c r="A17" s="81" t="s">
        <v>344</v>
      </c>
      <c r="B17" s="83" t="s">
        <v>65</v>
      </c>
      <c r="C17" s="297">
        <f t="shared" si="4"/>
        <v>110.39999999999999</v>
      </c>
      <c r="D17" s="297">
        <f t="shared" si="5"/>
        <v>1.3000000000000001E-2</v>
      </c>
      <c r="E17" s="150">
        <f t="shared" si="6"/>
        <v>64.584000000000003</v>
      </c>
      <c r="F17" s="150">
        <f t="shared" si="6"/>
        <v>80.73</v>
      </c>
      <c r="G17" s="150">
        <f t="shared" si="6"/>
        <v>86.111999999999995</v>
      </c>
      <c r="H17" s="150">
        <f t="shared" si="6"/>
        <v>89.933219999999992</v>
      </c>
      <c r="I17" s="150">
        <f t="shared" si="6"/>
        <v>97.89858000000001</v>
      </c>
      <c r="J17" s="150">
        <f t="shared" si="6"/>
        <v>105.16158900000001</v>
      </c>
      <c r="K17" s="150">
        <f t="shared" si="6"/>
        <v>106.77888000000002</v>
      </c>
    </row>
    <row r="18" spans="1:11">
      <c r="A18" s="159" t="s">
        <v>0</v>
      </c>
      <c r="B18" s="316" t="s">
        <v>65</v>
      </c>
      <c r="C18" s="324"/>
      <c r="D18" s="324"/>
      <c r="E18" s="320">
        <f>SUM(E13:E17)</f>
        <v>703.34192410714263</v>
      </c>
      <c r="F18" s="320">
        <f t="shared" ref="F18:K18" si="7">SUM(F13:F17)</f>
        <v>879.17740513392835</v>
      </c>
      <c r="G18" s="320">
        <f t="shared" si="7"/>
        <v>937.7892321428568</v>
      </c>
      <c r="H18" s="320">
        <f t="shared" si="7"/>
        <v>979.40362931919617</v>
      </c>
      <c r="I18" s="320">
        <f t="shared" si="7"/>
        <v>1066.1491332924106</v>
      </c>
      <c r="J18" s="320">
        <f t="shared" si="7"/>
        <v>1145.2457938409598</v>
      </c>
      <c r="K18" s="320">
        <f t="shared" si="7"/>
        <v>1162.8586478571428</v>
      </c>
    </row>
    <row r="19" spans="1:11">
      <c r="A19" s="159" t="s">
        <v>96</v>
      </c>
      <c r="B19" s="316"/>
      <c r="C19" s="324"/>
      <c r="D19" s="324"/>
      <c r="E19" s="320">
        <f>E11+E18</f>
        <v>2328.8432598214276</v>
      </c>
      <c r="F19" s="320">
        <f t="shared" ref="F19:K19" si="8">F11+F18</f>
        <v>2504.6787408482137</v>
      </c>
      <c r="G19" s="320">
        <f t="shared" si="8"/>
        <v>2498.1663156249997</v>
      </c>
      <c r="H19" s="320">
        <f t="shared" si="8"/>
        <v>2567.1328987388388</v>
      </c>
      <c r="I19" s="320">
        <f t="shared" si="8"/>
        <v>2784.126907176339</v>
      </c>
      <c r="J19" s="320">
        <f t="shared" si="8"/>
        <v>2949.4480776802457</v>
      </c>
      <c r="K19" s="320">
        <f t="shared" si="8"/>
        <v>2950.8775550167416</v>
      </c>
    </row>
    <row r="22" spans="1:11">
      <c r="A22" s="314" t="s">
        <v>164</v>
      </c>
      <c r="B22" s="315" t="str">
        <f>B4</f>
        <v>Ед.изм.</v>
      </c>
      <c r="C22" s="315"/>
      <c r="D22" s="315"/>
      <c r="E22" s="317">
        <f>E4</f>
        <v>2012</v>
      </c>
      <c r="F22" s="317">
        <f t="shared" ref="F22:K22" si="9">F4</f>
        <v>2013</v>
      </c>
      <c r="G22" s="317">
        <f t="shared" si="9"/>
        <v>2014</v>
      </c>
      <c r="H22" s="317">
        <f t="shared" si="9"/>
        <v>2015</v>
      </c>
      <c r="I22" s="317">
        <f t="shared" si="9"/>
        <v>2016</v>
      </c>
      <c r="J22" s="317">
        <f t="shared" si="9"/>
        <v>2017</v>
      </c>
      <c r="K22" s="317">
        <f t="shared" si="9"/>
        <v>2018</v>
      </c>
    </row>
    <row r="23" spans="1:11">
      <c r="A23" s="293" t="s">
        <v>327</v>
      </c>
      <c r="B23" s="294" t="s">
        <v>285</v>
      </c>
      <c r="C23" s="295">
        <f>Исх!C27+Исх!C28</f>
        <v>52</v>
      </c>
    </row>
    <row r="24" spans="1:11">
      <c r="A24" s="293" t="s">
        <v>328</v>
      </c>
      <c r="B24" s="294" t="s">
        <v>285</v>
      </c>
      <c r="C24" s="295">
        <f>Исх!C27*Исх!C24</f>
        <v>45</v>
      </c>
    </row>
    <row r="25" spans="1:11">
      <c r="A25" s="81" t="s">
        <v>329</v>
      </c>
      <c r="B25" s="83" t="s">
        <v>285</v>
      </c>
      <c r="C25" s="157">
        <f>C23+C24/2</f>
        <v>74.5</v>
      </c>
    </row>
    <row r="26" spans="1:11">
      <c r="A26" s="81" t="s">
        <v>326</v>
      </c>
      <c r="B26" s="83" t="s">
        <v>65</v>
      </c>
      <c r="C26" s="157">
        <f>ФОТ!K17</f>
        <v>404.31719999999996</v>
      </c>
    </row>
    <row r="27" spans="1:11">
      <c r="A27" s="81" t="s">
        <v>324</v>
      </c>
      <c r="B27" s="83" t="s">
        <v>65</v>
      </c>
      <c r="C27" s="157">
        <f>C26/C25</f>
        <v>5.4270765100671134</v>
      </c>
    </row>
    <row r="28" spans="1:11">
      <c r="A28" s="159" t="s">
        <v>325</v>
      </c>
      <c r="B28" s="316" t="s">
        <v>285</v>
      </c>
      <c r="C28" s="81"/>
      <c r="D28" s="81"/>
      <c r="E28" s="158">
        <f>Производство!E65+Производство!E66/2</f>
        <v>74.5</v>
      </c>
      <c r="F28" s="158">
        <f>Производство!F65+Производство!F66/2</f>
        <v>80.125</v>
      </c>
      <c r="G28" s="158">
        <f>Производство!G65+Производство!G66/2</f>
        <v>79.916666666666671</v>
      </c>
      <c r="H28" s="158">
        <f>Производство!H65+Производство!H66/2</f>
        <v>82.122916666666669</v>
      </c>
      <c r="I28" s="158">
        <f>Производство!I65+Производство!I66/2</f>
        <v>89.064583333333346</v>
      </c>
      <c r="J28" s="158">
        <f>Производство!J65+Производство!J66/2</f>
        <v>94.353229166666694</v>
      </c>
      <c r="K28" s="158">
        <f>Производство!K65+Производство!K66/2</f>
        <v>94.398958333333354</v>
      </c>
    </row>
    <row r="29" spans="1:11">
      <c r="A29" s="159" t="s">
        <v>49</v>
      </c>
      <c r="B29" s="316" t="s">
        <v>65</v>
      </c>
      <c r="C29" s="159"/>
      <c r="D29" s="159"/>
      <c r="E29" s="158">
        <f>E28*$C$27</f>
        <v>404.31719999999996</v>
      </c>
      <c r="F29" s="158">
        <f t="shared" ref="F29:K29" si="10">F28*$C$27</f>
        <v>434.84450536912749</v>
      </c>
      <c r="G29" s="158">
        <f t="shared" si="10"/>
        <v>433.71386442953019</v>
      </c>
      <c r="H29" s="158">
        <f t="shared" si="10"/>
        <v>445.68735197986575</v>
      </c>
      <c r="I29" s="158">
        <f t="shared" si="10"/>
        <v>483.36030808724831</v>
      </c>
      <c r="J29" s="158">
        <f t="shared" si="10"/>
        <v>512.06219365939603</v>
      </c>
      <c r="K29" s="158">
        <f t="shared" si="10"/>
        <v>512.31036934563758</v>
      </c>
    </row>
  </sheetData>
  <phoneticPr fontId="3" type="noConversion"/>
  <pageMargins left="0.34" right="0.43" top="0.45" bottom="0.38" header="0.2" footer="0.3"/>
  <pageSetup paperSize="9" orientation="landscape" r:id="rId1"/>
  <headerFooter alignWithMargins="0"/>
  <picture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</sheetPr>
  <dimension ref="A1:R92"/>
  <sheetViews>
    <sheetView showGridLines="0" zoomScaleNormal="100" workbookViewId="0">
      <pane xSplit="1" ySplit="4" topLeftCell="B5" activePane="bottomRight" state="frozen"/>
      <selection pane="topRight" activeCell="B1" sqref="B1"/>
      <selection pane="bottomLeft" activeCell="A8" sqref="A8"/>
      <selection pane="bottomRight" activeCell="O3" sqref="O3"/>
    </sheetView>
  </sheetViews>
  <sheetFormatPr defaultRowHeight="12.75" outlineLevelRow="1"/>
  <cols>
    <col min="1" max="1" width="34.5703125" style="78" customWidth="1"/>
    <col min="2" max="2" width="7.28515625" style="151" customWidth="1"/>
    <col min="3" max="3" width="9" style="78" customWidth="1"/>
    <col min="4" max="4" width="8.85546875" style="78" customWidth="1"/>
    <col min="5" max="5" width="9.140625" style="78"/>
    <col min="6" max="12" width="9" style="78" customWidth="1"/>
    <col min="13" max="13" width="12" style="78" customWidth="1"/>
    <col min="14" max="14" width="2.85546875" style="78" customWidth="1"/>
    <col min="15" max="16384" width="9.140625" style="78"/>
  </cols>
  <sheetData>
    <row r="1" spans="1:15" ht="17.25" customHeight="1">
      <c r="A1" s="62" t="s">
        <v>245</v>
      </c>
      <c r="B1" s="144"/>
      <c r="C1" s="62"/>
      <c r="E1" s="208">
        <f>E65+E66</f>
        <v>97</v>
      </c>
      <c r="F1" s="208">
        <f t="shared" ref="F1:K1" si="0">F65+F66</f>
        <v>108.25</v>
      </c>
      <c r="G1" s="208">
        <f t="shared" si="0"/>
        <v>109.91666666666667</v>
      </c>
      <c r="H1" s="208">
        <f t="shared" si="0"/>
        <v>113.45416666666667</v>
      </c>
      <c r="I1" s="208">
        <f t="shared" si="0"/>
        <v>123.17083333333335</v>
      </c>
      <c r="J1" s="208">
        <f t="shared" si="0"/>
        <v>130.98979166666669</v>
      </c>
      <c r="K1" s="208">
        <f t="shared" si="0"/>
        <v>131.59895833333337</v>
      </c>
      <c r="L1" s="208">
        <f>L65+L66</f>
        <v>120.42301041666671</v>
      </c>
      <c r="O1" s="208"/>
    </row>
    <row r="2" spans="1:15">
      <c r="E2" s="144"/>
      <c r="F2" s="144"/>
      <c r="G2" s="144"/>
      <c r="H2" s="144"/>
      <c r="I2" s="144"/>
    </row>
    <row r="3" spans="1:15">
      <c r="A3" s="227"/>
      <c r="B3" s="250" t="s">
        <v>223</v>
      </c>
      <c r="C3" s="250" t="s">
        <v>120</v>
      </c>
      <c r="D3" s="250" t="s">
        <v>246</v>
      </c>
      <c r="E3" s="250">
        <v>2012</v>
      </c>
      <c r="F3" s="250">
        <f>E3+1</f>
        <v>2013</v>
      </c>
      <c r="G3" s="250">
        <f t="shared" ref="G3:L3" si="1">F3+1</f>
        <v>2014</v>
      </c>
      <c r="H3" s="250">
        <f t="shared" si="1"/>
        <v>2015</v>
      </c>
      <c r="I3" s="250">
        <f t="shared" si="1"/>
        <v>2016</v>
      </c>
      <c r="J3" s="250">
        <f t="shared" si="1"/>
        <v>2017</v>
      </c>
      <c r="K3" s="250">
        <f t="shared" si="1"/>
        <v>2018</v>
      </c>
      <c r="L3" s="250">
        <f t="shared" si="1"/>
        <v>2019</v>
      </c>
      <c r="O3" s="328">
        <f>'1-Ф3'!B2</f>
        <v>0</v>
      </c>
    </row>
    <row r="4" spans="1:15" ht="13.5" thickBot="1">
      <c r="A4" s="257" t="s">
        <v>247</v>
      </c>
      <c r="B4" s="258"/>
      <c r="C4" s="258"/>
      <c r="D4" s="259"/>
      <c r="E4" s="260"/>
      <c r="F4" s="260"/>
      <c r="G4" s="260"/>
      <c r="H4" s="260"/>
      <c r="I4" s="260"/>
      <c r="J4" s="260"/>
      <c r="K4" s="260"/>
      <c r="L4" s="260"/>
    </row>
    <row r="5" spans="1:15" outlineLevel="1">
      <c r="A5" s="261" t="s">
        <v>248</v>
      </c>
      <c r="B5" s="262"/>
      <c r="C5" s="263"/>
      <c r="D5" s="264"/>
      <c r="E5" s="265">
        <f>Исх!C27</f>
        <v>50</v>
      </c>
      <c r="F5" s="266"/>
      <c r="G5" s="266"/>
      <c r="H5" s="266"/>
      <c r="I5" s="266"/>
      <c r="J5" s="266"/>
      <c r="K5" s="266"/>
      <c r="L5" s="267"/>
    </row>
    <row r="6" spans="1:15" ht="25.5" outlineLevel="1">
      <c r="A6" s="268" t="s">
        <v>249</v>
      </c>
      <c r="B6" s="269"/>
      <c r="C6" s="150"/>
      <c r="D6" s="270">
        <f>Исх!$C$23</f>
        <v>0.33333333333333331</v>
      </c>
      <c r="E6" s="150"/>
      <c r="F6" s="157"/>
      <c r="G6" s="271">
        <f>$E$5*$D$6-F7-E7</f>
        <v>16.666666666666664</v>
      </c>
      <c r="H6" s="271">
        <f>$E$5*$D$6-G7</f>
        <v>6.6666666666666643</v>
      </c>
      <c r="I6" s="271">
        <f>$E$5*$D$6-H7</f>
        <v>6.6666666666666643</v>
      </c>
      <c r="J6" s="149"/>
      <c r="K6" s="149"/>
      <c r="L6" s="272"/>
    </row>
    <row r="7" spans="1:15" outlineLevel="1">
      <c r="A7" s="268" t="s">
        <v>379</v>
      </c>
      <c r="B7" s="269"/>
      <c r="C7" s="150"/>
      <c r="D7" s="270"/>
      <c r="E7" s="149"/>
      <c r="F7" s="149"/>
      <c r="G7" s="149">
        <v>10</v>
      </c>
      <c r="H7" s="149">
        <v>10</v>
      </c>
      <c r="I7" s="149"/>
      <c r="J7" s="149"/>
      <c r="K7" s="149"/>
      <c r="L7" s="272"/>
    </row>
    <row r="8" spans="1:15" outlineLevel="1">
      <c r="A8" s="268" t="s">
        <v>250</v>
      </c>
      <c r="B8" s="269"/>
      <c r="C8" s="150"/>
      <c r="D8" s="270"/>
      <c r="E8" s="150">
        <f>E5-E6-E7</f>
        <v>50</v>
      </c>
      <c r="F8" s="150">
        <f t="shared" ref="F8:L8" si="2">E8+F5-F6-F7</f>
        <v>50</v>
      </c>
      <c r="G8" s="150">
        <f t="shared" si="2"/>
        <v>23.333333333333336</v>
      </c>
      <c r="H8" s="150">
        <f t="shared" si="2"/>
        <v>6.6666666666666714</v>
      </c>
      <c r="I8" s="150">
        <f t="shared" si="2"/>
        <v>7.1054273576010019E-15</v>
      </c>
      <c r="J8" s="150">
        <f t="shared" si="2"/>
        <v>7.1054273576010019E-15</v>
      </c>
      <c r="K8" s="150">
        <f t="shared" si="2"/>
        <v>7.1054273576010019E-15</v>
      </c>
      <c r="L8" s="273">
        <f t="shared" si="2"/>
        <v>7.1054273576010019E-15</v>
      </c>
    </row>
    <row r="9" spans="1:15" outlineLevel="1">
      <c r="A9" s="274" t="s">
        <v>251</v>
      </c>
      <c r="B9" s="269"/>
      <c r="C9" s="150"/>
      <c r="D9" s="270">
        <f>Исх!C24</f>
        <v>0.9</v>
      </c>
      <c r="E9" s="150">
        <f>E8*$D$9</f>
        <v>45</v>
      </c>
      <c r="F9" s="150">
        <f t="shared" ref="F9:L9" si="3">F8*$D$9</f>
        <v>45</v>
      </c>
      <c r="G9" s="150">
        <f>G8*$D$9</f>
        <v>21.000000000000004</v>
      </c>
      <c r="H9" s="150">
        <f t="shared" si="3"/>
        <v>6.0000000000000044</v>
      </c>
      <c r="I9" s="150">
        <f t="shared" si="3"/>
        <v>6.3948846218409018E-15</v>
      </c>
      <c r="J9" s="150">
        <f t="shared" si="3"/>
        <v>6.3948846218409018E-15</v>
      </c>
      <c r="K9" s="150">
        <f t="shared" si="3"/>
        <v>6.3948846218409018E-15</v>
      </c>
      <c r="L9" s="273">
        <f t="shared" si="3"/>
        <v>6.3948846218409018E-15</v>
      </c>
    </row>
    <row r="10" spans="1:15" outlineLevel="1">
      <c r="A10" s="274" t="s">
        <v>252</v>
      </c>
      <c r="B10" s="269"/>
      <c r="C10" s="150"/>
      <c r="D10" s="270">
        <f>Исх!C25</f>
        <v>0.5</v>
      </c>
      <c r="E10" s="150">
        <f>E9*$D$10</f>
        <v>22.5</v>
      </c>
      <c r="F10" s="150">
        <f t="shared" ref="F10:L10" si="4">F9*$D$10</f>
        <v>22.5</v>
      </c>
      <c r="G10" s="150">
        <f>G9*$D$10</f>
        <v>10.500000000000002</v>
      </c>
      <c r="H10" s="150">
        <f t="shared" si="4"/>
        <v>3.0000000000000022</v>
      </c>
      <c r="I10" s="150">
        <f t="shared" si="4"/>
        <v>3.1974423109204509E-15</v>
      </c>
      <c r="J10" s="150">
        <f t="shared" si="4"/>
        <v>3.1974423109204509E-15</v>
      </c>
      <c r="K10" s="150">
        <f t="shared" si="4"/>
        <v>3.1974423109204509E-15</v>
      </c>
      <c r="L10" s="273">
        <f t="shared" si="4"/>
        <v>3.1974423109204509E-15</v>
      </c>
    </row>
    <row r="11" spans="1:15" ht="13.5" outlineLevel="1" thickBot="1">
      <c r="A11" s="275" t="s">
        <v>253</v>
      </c>
      <c r="B11" s="276"/>
      <c r="C11" s="277"/>
      <c r="D11" s="284">
        <f>Исх!C26</f>
        <v>0.5</v>
      </c>
      <c r="E11" s="277">
        <f>E9*$D$11</f>
        <v>22.5</v>
      </c>
      <c r="F11" s="277">
        <f t="shared" ref="F11:L11" si="5">F9*$D$11</f>
        <v>22.5</v>
      </c>
      <c r="G11" s="277">
        <f>G9*$D$11</f>
        <v>10.500000000000002</v>
      </c>
      <c r="H11" s="277">
        <f t="shared" si="5"/>
        <v>3.0000000000000022</v>
      </c>
      <c r="I11" s="277">
        <f t="shared" si="5"/>
        <v>3.1974423109204509E-15</v>
      </c>
      <c r="J11" s="277">
        <f t="shared" si="5"/>
        <v>3.1974423109204509E-15</v>
      </c>
      <c r="K11" s="277">
        <f t="shared" si="5"/>
        <v>3.1974423109204509E-15</v>
      </c>
      <c r="L11" s="278">
        <f t="shared" si="5"/>
        <v>3.1974423109204509E-15</v>
      </c>
    </row>
    <row r="12" spans="1:15" ht="13.5" thickBot="1">
      <c r="A12" s="279" t="s">
        <v>254</v>
      </c>
      <c r="B12" s="280"/>
      <c r="C12" s="281"/>
      <c r="D12" s="282"/>
      <c r="E12" s="281"/>
      <c r="F12" s="281"/>
      <c r="G12" s="281"/>
      <c r="H12" s="281"/>
      <c r="I12" s="281"/>
      <c r="J12" s="281"/>
      <c r="K12" s="281"/>
      <c r="L12" s="283"/>
    </row>
    <row r="13" spans="1:15" outlineLevel="1">
      <c r="A13" s="261" t="s">
        <v>250</v>
      </c>
      <c r="B13" s="262"/>
      <c r="C13" s="263"/>
      <c r="D13" s="264"/>
      <c r="E13" s="266"/>
      <c r="F13" s="266"/>
      <c r="G13" s="266">
        <f>E11</f>
        <v>22.5</v>
      </c>
      <c r="H13" s="266"/>
      <c r="I13" s="266"/>
      <c r="J13" s="266"/>
      <c r="K13" s="266"/>
      <c r="L13" s="267"/>
    </row>
    <row r="14" spans="1:15" outlineLevel="1">
      <c r="A14" s="268" t="s">
        <v>255</v>
      </c>
      <c r="B14" s="269"/>
      <c r="C14" s="150"/>
      <c r="D14" s="270">
        <f>D6</f>
        <v>0.33333333333333331</v>
      </c>
      <c r="E14" s="150"/>
      <c r="F14" s="157"/>
      <c r="G14" s="157"/>
      <c r="H14" s="157"/>
      <c r="I14" s="271">
        <f>$G$13*$D$14-H15</f>
        <v>5.5</v>
      </c>
      <c r="J14" s="271">
        <f>$G$13*$D$14-I15</f>
        <v>6.5</v>
      </c>
      <c r="K14" s="271">
        <f>$G$13*$D$14-J15</f>
        <v>7.5</v>
      </c>
      <c r="L14" s="272"/>
    </row>
    <row r="15" spans="1:15" outlineLevel="1">
      <c r="A15" s="268" t="str">
        <f>A7</f>
        <v>Отделение от стада</v>
      </c>
      <c r="B15" s="269"/>
      <c r="C15" s="150"/>
      <c r="D15" s="270"/>
      <c r="E15" s="149"/>
      <c r="F15" s="149"/>
      <c r="G15" s="149"/>
      <c r="H15" s="149">
        <v>2</v>
      </c>
      <c r="I15" s="149">
        <v>1</v>
      </c>
      <c r="J15" s="149"/>
      <c r="K15" s="149"/>
      <c r="L15" s="272"/>
    </row>
    <row r="16" spans="1:15" outlineLevel="1">
      <c r="A16" s="268" t="s">
        <v>250</v>
      </c>
      <c r="B16" s="269"/>
      <c r="C16" s="150"/>
      <c r="D16" s="270"/>
      <c r="E16" s="150">
        <f>E13-E14-E15</f>
        <v>0</v>
      </c>
      <c r="F16" s="150">
        <f t="shared" ref="F16:L16" si="6">E16+F13-F14-F15</f>
        <v>0</v>
      </c>
      <c r="G16" s="150">
        <f t="shared" si="6"/>
        <v>22.5</v>
      </c>
      <c r="H16" s="150">
        <f t="shared" si="6"/>
        <v>20.5</v>
      </c>
      <c r="I16" s="150">
        <f t="shared" si="6"/>
        <v>14</v>
      </c>
      <c r="J16" s="150">
        <f t="shared" si="6"/>
        <v>7.5</v>
      </c>
      <c r="K16" s="150">
        <f t="shared" si="6"/>
        <v>0</v>
      </c>
      <c r="L16" s="273">
        <f t="shared" si="6"/>
        <v>0</v>
      </c>
    </row>
    <row r="17" spans="1:12" outlineLevel="1">
      <c r="A17" s="274" t="s">
        <v>251</v>
      </c>
      <c r="B17" s="269"/>
      <c r="C17" s="150"/>
      <c r="D17" s="270">
        <f>D9</f>
        <v>0.9</v>
      </c>
      <c r="E17" s="150">
        <f t="shared" ref="E17:L17" si="7">E16*$D$9</f>
        <v>0</v>
      </c>
      <c r="F17" s="150">
        <f t="shared" si="7"/>
        <v>0</v>
      </c>
      <c r="G17" s="150">
        <f t="shared" si="7"/>
        <v>20.25</v>
      </c>
      <c r="H17" s="150">
        <f t="shared" si="7"/>
        <v>18.45</v>
      </c>
      <c r="I17" s="150">
        <f t="shared" si="7"/>
        <v>12.6</v>
      </c>
      <c r="J17" s="150">
        <f t="shared" si="7"/>
        <v>6.75</v>
      </c>
      <c r="K17" s="150">
        <f t="shared" si="7"/>
        <v>0</v>
      </c>
      <c r="L17" s="273">
        <f t="shared" si="7"/>
        <v>0</v>
      </c>
    </row>
    <row r="18" spans="1:12" outlineLevel="1">
      <c r="A18" s="274" t="s">
        <v>252</v>
      </c>
      <c r="B18" s="269"/>
      <c r="C18" s="150"/>
      <c r="D18" s="270">
        <f>D10</f>
        <v>0.5</v>
      </c>
      <c r="E18" s="150">
        <f t="shared" ref="E18:L18" si="8">E17*$D$10</f>
        <v>0</v>
      </c>
      <c r="F18" s="150">
        <f t="shared" si="8"/>
        <v>0</v>
      </c>
      <c r="G18" s="150">
        <f t="shared" si="8"/>
        <v>10.125</v>
      </c>
      <c r="H18" s="150">
        <f t="shared" si="8"/>
        <v>9.2249999999999996</v>
      </c>
      <c r="I18" s="150">
        <f t="shared" si="8"/>
        <v>6.3</v>
      </c>
      <c r="J18" s="150">
        <f t="shared" si="8"/>
        <v>3.375</v>
      </c>
      <c r="K18" s="150">
        <f t="shared" si="8"/>
        <v>0</v>
      </c>
      <c r="L18" s="273">
        <f t="shared" si="8"/>
        <v>0</v>
      </c>
    </row>
    <row r="19" spans="1:12" ht="13.5" outlineLevel="1" thickBot="1">
      <c r="A19" s="275" t="s">
        <v>253</v>
      </c>
      <c r="B19" s="276"/>
      <c r="C19" s="277"/>
      <c r="D19" s="284">
        <f>D11</f>
        <v>0.5</v>
      </c>
      <c r="E19" s="277">
        <f t="shared" ref="E19:L19" si="9">E17*$D$11</f>
        <v>0</v>
      </c>
      <c r="F19" s="277">
        <f t="shared" si="9"/>
        <v>0</v>
      </c>
      <c r="G19" s="277">
        <f t="shared" si="9"/>
        <v>10.125</v>
      </c>
      <c r="H19" s="277">
        <f t="shared" si="9"/>
        <v>9.2249999999999996</v>
      </c>
      <c r="I19" s="277">
        <f t="shared" si="9"/>
        <v>6.3</v>
      </c>
      <c r="J19" s="277">
        <f t="shared" si="9"/>
        <v>3.375</v>
      </c>
      <c r="K19" s="277">
        <f t="shared" si="9"/>
        <v>0</v>
      </c>
      <c r="L19" s="278">
        <f t="shared" si="9"/>
        <v>0</v>
      </c>
    </row>
    <row r="20" spans="1:12" ht="13.5" thickBot="1">
      <c r="A20" s="279" t="s">
        <v>256</v>
      </c>
      <c r="B20" s="280"/>
      <c r="C20" s="281"/>
      <c r="D20" s="282"/>
      <c r="E20" s="281"/>
      <c r="F20" s="281"/>
      <c r="G20" s="281"/>
      <c r="H20" s="281"/>
      <c r="I20" s="281"/>
      <c r="J20" s="281"/>
      <c r="K20" s="281"/>
      <c r="L20" s="283"/>
    </row>
    <row r="21" spans="1:12" outlineLevel="1">
      <c r="A21" s="261" t="str">
        <f t="shared" ref="A21:A27" si="10">A13</f>
        <v>Поголовье коров</v>
      </c>
      <c r="B21" s="262"/>
      <c r="C21" s="263"/>
      <c r="D21" s="264"/>
      <c r="E21" s="266"/>
      <c r="F21" s="266"/>
      <c r="G21" s="266"/>
      <c r="H21" s="266">
        <f>F11</f>
        <v>22.5</v>
      </c>
      <c r="I21" s="266"/>
      <c r="J21" s="266"/>
      <c r="K21" s="266"/>
      <c r="L21" s="267"/>
    </row>
    <row r="22" spans="1:12" outlineLevel="1">
      <c r="A22" s="268" t="str">
        <f t="shared" si="10"/>
        <v>Выбраковка</v>
      </c>
      <c r="B22" s="269"/>
      <c r="C22" s="150"/>
      <c r="D22" s="270">
        <f>D14</f>
        <v>0.33333333333333331</v>
      </c>
      <c r="E22" s="150"/>
      <c r="F22" s="157"/>
      <c r="G22" s="157"/>
      <c r="H22" s="157"/>
      <c r="I22" s="157"/>
      <c r="J22" s="271">
        <f>$H$21*$D$14-I23</f>
        <v>7.5</v>
      </c>
      <c r="K22" s="271">
        <f>$H$21*$D$14-J23</f>
        <v>0.5</v>
      </c>
      <c r="L22" s="285">
        <f>$H$21*$D$14-K23</f>
        <v>0.5</v>
      </c>
    </row>
    <row r="23" spans="1:12" outlineLevel="1">
      <c r="A23" s="268" t="str">
        <f t="shared" si="10"/>
        <v>Отделение от стада</v>
      </c>
      <c r="B23" s="269"/>
      <c r="C23" s="150"/>
      <c r="D23" s="270"/>
      <c r="E23" s="149"/>
      <c r="F23" s="149"/>
      <c r="G23" s="149"/>
      <c r="H23" s="149"/>
      <c r="I23" s="149"/>
      <c r="J23" s="149">
        <v>7</v>
      </c>
      <c r="K23" s="149">
        <v>7</v>
      </c>
      <c r="L23" s="272"/>
    </row>
    <row r="24" spans="1:12" outlineLevel="1">
      <c r="A24" s="268" t="str">
        <f t="shared" si="10"/>
        <v>Поголовье коров</v>
      </c>
      <c r="B24" s="269"/>
      <c r="C24" s="150"/>
      <c r="D24" s="270"/>
      <c r="E24" s="150">
        <f>E21-E22-E23</f>
        <v>0</v>
      </c>
      <c r="F24" s="150">
        <f t="shared" ref="F24:L24" si="11">E24+F21-F22-F23</f>
        <v>0</v>
      </c>
      <c r="G24" s="150">
        <f t="shared" si="11"/>
        <v>0</v>
      </c>
      <c r="H24" s="150">
        <f t="shared" si="11"/>
        <v>22.5</v>
      </c>
      <c r="I24" s="150">
        <f t="shared" si="11"/>
        <v>22.5</v>
      </c>
      <c r="J24" s="150">
        <f t="shared" si="11"/>
        <v>8</v>
      </c>
      <c r="K24" s="150">
        <f t="shared" si="11"/>
        <v>0.5</v>
      </c>
      <c r="L24" s="273">
        <f t="shared" si="11"/>
        <v>0</v>
      </c>
    </row>
    <row r="25" spans="1:12" outlineLevel="1">
      <c r="A25" s="274" t="str">
        <f t="shared" si="10"/>
        <v>Кол-во полученного приплода</v>
      </c>
      <c r="B25" s="269"/>
      <c r="C25" s="150"/>
      <c r="D25" s="270">
        <f>D17</f>
        <v>0.9</v>
      </c>
      <c r="E25" s="150">
        <f t="shared" ref="E25:L25" si="12">E24*$D$9</f>
        <v>0</v>
      </c>
      <c r="F25" s="150">
        <f t="shared" si="12"/>
        <v>0</v>
      </c>
      <c r="G25" s="150">
        <f t="shared" si="12"/>
        <v>0</v>
      </c>
      <c r="H25" s="150">
        <f t="shared" si="12"/>
        <v>20.25</v>
      </c>
      <c r="I25" s="150">
        <f t="shared" si="12"/>
        <v>20.25</v>
      </c>
      <c r="J25" s="150">
        <f t="shared" si="12"/>
        <v>7.2</v>
      </c>
      <c r="K25" s="150">
        <f t="shared" si="12"/>
        <v>0.45</v>
      </c>
      <c r="L25" s="273">
        <f t="shared" si="12"/>
        <v>0</v>
      </c>
    </row>
    <row r="26" spans="1:12" outlineLevel="1">
      <c r="A26" s="274" t="str">
        <f t="shared" si="10"/>
        <v>в т.ч. поголовье бычков</v>
      </c>
      <c r="B26" s="269"/>
      <c r="C26" s="150"/>
      <c r="D26" s="270">
        <f>D18</f>
        <v>0.5</v>
      </c>
      <c r="E26" s="150">
        <f t="shared" ref="E26:L26" si="13">E25*$D$10</f>
        <v>0</v>
      </c>
      <c r="F26" s="150">
        <f t="shared" si="13"/>
        <v>0</v>
      </c>
      <c r="G26" s="150">
        <f t="shared" si="13"/>
        <v>0</v>
      </c>
      <c r="H26" s="150">
        <f t="shared" si="13"/>
        <v>10.125</v>
      </c>
      <c r="I26" s="150">
        <f t="shared" si="13"/>
        <v>10.125</v>
      </c>
      <c r="J26" s="150">
        <f t="shared" si="13"/>
        <v>3.6</v>
      </c>
      <c r="K26" s="150">
        <f t="shared" si="13"/>
        <v>0.22500000000000001</v>
      </c>
      <c r="L26" s="273">
        <f t="shared" si="13"/>
        <v>0</v>
      </c>
    </row>
    <row r="27" spans="1:12" ht="13.5" outlineLevel="1" thickBot="1">
      <c r="A27" s="275" t="str">
        <f t="shared" si="10"/>
        <v>поголовье телок</v>
      </c>
      <c r="B27" s="276"/>
      <c r="C27" s="277"/>
      <c r="D27" s="284">
        <f>D19</f>
        <v>0.5</v>
      </c>
      <c r="E27" s="277">
        <f t="shared" ref="E27:L27" si="14">E25*$D$11</f>
        <v>0</v>
      </c>
      <c r="F27" s="277">
        <f t="shared" si="14"/>
        <v>0</v>
      </c>
      <c r="G27" s="277">
        <f t="shared" si="14"/>
        <v>0</v>
      </c>
      <c r="H27" s="277">
        <f t="shared" si="14"/>
        <v>10.125</v>
      </c>
      <c r="I27" s="277">
        <f t="shared" si="14"/>
        <v>10.125</v>
      </c>
      <c r="J27" s="277">
        <f t="shared" si="14"/>
        <v>3.6</v>
      </c>
      <c r="K27" s="277">
        <f t="shared" si="14"/>
        <v>0.22500000000000001</v>
      </c>
      <c r="L27" s="278">
        <f t="shared" si="14"/>
        <v>0</v>
      </c>
    </row>
    <row r="28" spans="1:12" ht="13.5" thickBot="1">
      <c r="A28" s="279" t="s">
        <v>257</v>
      </c>
      <c r="B28" s="280"/>
      <c r="C28" s="281"/>
      <c r="D28" s="282"/>
      <c r="E28" s="281"/>
      <c r="F28" s="281"/>
      <c r="G28" s="281"/>
      <c r="H28" s="281"/>
      <c r="I28" s="281"/>
      <c r="J28" s="281"/>
      <c r="K28" s="281"/>
      <c r="L28" s="283"/>
    </row>
    <row r="29" spans="1:12" outlineLevel="1">
      <c r="A29" s="261" t="str">
        <f t="shared" ref="A29:A35" si="15">A21</f>
        <v>Поголовье коров</v>
      </c>
      <c r="B29" s="262"/>
      <c r="C29" s="263"/>
      <c r="D29" s="264"/>
      <c r="E29" s="266"/>
      <c r="F29" s="266"/>
      <c r="G29" s="266"/>
      <c r="H29" s="266"/>
      <c r="I29" s="266">
        <f>G11+G19</f>
        <v>20.625</v>
      </c>
      <c r="J29" s="266"/>
      <c r="K29" s="266"/>
      <c r="L29" s="267"/>
    </row>
    <row r="30" spans="1:12" outlineLevel="1">
      <c r="A30" s="268" t="str">
        <f t="shared" si="15"/>
        <v>Выбраковка</v>
      </c>
      <c r="B30" s="269"/>
      <c r="C30" s="150"/>
      <c r="D30" s="270">
        <f>D22</f>
        <v>0.33333333333333331</v>
      </c>
      <c r="E30" s="150"/>
      <c r="F30" s="157"/>
      <c r="G30" s="157"/>
      <c r="H30" s="157"/>
      <c r="I30" s="157"/>
      <c r="J30" s="157"/>
      <c r="K30" s="271">
        <f>$H$21*$D$14-J31</f>
        <v>7.5</v>
      </c>
      <c r="L30" s="285">
        <f>$H$21*$D$14-K31</f>
        <v>0.5</v>
      </c>
    </row>
    <row r="31" spans="1:12" outlineLevel="1">
      <c r="A31" s="268" t="str">
        <f t="shared" si="15"/>
        <v>Отделение от стада</v>
      </c>
      <c r="B31" s="269"/>
      <c r="C31" s="150"/>
      <c r="D31" s="270"/>
      <c r="E31" s="149"/>
      <c r="F31" s="149"/>
      <c r="G31" s="149"/>
      <c r="H31" s="149"/>
      <c r="I31" s="149"/>
      <c r="J31" s="149"/>
      <c r="K31" s="149">
        <v>7</v>
      </c>
      <c r="L31" s="272">
        <v>6</v>
      </c>
    </row>
    <row r="32" spans="1:12" outlineLevel="1">
      <c r="A32" s="268" t="str">
        <f t="shared" si="15"/>
        <v>Поголовье коров</v>
      </c>
      <c r="B32" s="269"/>
      <c r="C32" s="150"/>
      <c r="D32" s="270"/>
      <c r="E32" s="150">
        <f>E29-E30-E31</f>
        <v>0</v>
      </c>
      <c r="F32" s="150">
        <f t="shared" ref="F32:L32" si="16">E32+F29-F30-F31</f>
        <v>0</v>
      </c>
      <c r="G32" s="150">
        <f t="shared" si="16"/>
        <v>0</v>
      </c>
      <c r="H32" s="150">
        <f t="shared" si="16"/>
        <v>0</v>
      </c>
      <c r="I32" s="150">
        <f t="shared" si="16"/>
        <v>20.625</v>
      </c>
      <c r="J32" s="150">
        <f t="shared" si="16"/>
        <v>20.625</v>
      </c>
      <c r="K32" s="150">
        <f t="shared" si="16"/>
        <v>6.125</v>
      </c>
      <c r="L32" s="273">
        <f t="shared" si="16"/>
        <v>-0.375</v>
      </c>
    </row>
    <row r="33" spans="1:12" outlineLevel="1">
      <c r="A33" s="274" t="str">
        <f t="shared" si="15"/>
        <v>Кол-во полученного приплода</v>
      </c>
      <c r="B33" s="269"/>
      <c r="C33" s="150"/>
      <c r="D33" s="270">
        <f>D25</f>
        <v>0.9</v>
      </c>
      <c r="E33" s="150">
        <f t="shared" ref="E33:L33" si="17">E32*$D$9</f>
        <v>0</v>
      </c>
      <c r="F33" s="150">
        <f t="shared" si="17"/>
        <v>0</v>
      </c>
      <c r="G33" s="150">
        <f t="shared" si="17"/>
        <v>0</v>
      </c>
      <c r="H33" s="150">
        <f t="shared" si="17"/>
        <v>0</v>
      </c>
      <c r="I33" s="150">
        <f t="shared" si="17"/>
        <v>18.5625</v>
      </c>
      <c r="J33" s="150">
        <f t="shared" si="17"/>
        <v>18.5625</v>
      </c>
      <c r="K33" s="150">
        <f t="shared" si="17"/>
        <v>5.5125000000000002</v>
      </c>
      <c r="L33" s="273">
        <f t="shared" si="17"/>
        <v>-0.33750000000000002</v>
      </c>
    </row>
    <row r="34" spans="1:12" outlineLevel="1">
      <c r="A34" s="274" t="str">
        <f t="shared" si="15"/>
        <v>в т.ч. поголовье бычков</v>
      </c>
      <c r="B34" s="269"/>
      <c r="C34" s="150"/>
      <c r="D34" s="270">
        <f>D26</f>
        <v>0.5</v>
      </c>
      <c r="E34" s="150">
        <f t="shared" ref="E34:L34" si="18">E33*$D$10</f>
        <v>0</v>
      </c>
      <c r="F34" s="150">
        <f t="shared" si="18"/>
        <v>0</v>
      </c>
      <c r="G34" s="150">
        <f t="shared" si="18"/>
        <v>0</v>
      </c>
      <c r="H34" s="150">
        <f t="shared" si="18"/>
        <v>0</v>
      </c>
      <c r="I34" s="150">
        <f t="shared" si="18"/>
        <v>9.28125</v>
      </c>
      <c r="J34" s="150">
        <f t="shared" si="18"/>
        <v>9.28125</v>
      </c>
      <c r="K34" s="150">
        <f t="shared" si="18"/>
        <v>2.7562500000000001</v>
      </c>
      <c r="L34" s="273">
        <f t="shared" si="18"/>
        <v>-0.16875000000000001</v>
      </c>
    </row>
    <row r="35" spans="1:12" ht="13.5" outlineLevel="1" thickBot="1">
      <c r="A35" s="275" t="str">
        <f t="shared" si="15"/>
        <v>поголовье телок</v>
      </c>
      <c r="B35" s="276"/>
      <c r="C35" s="277"/>
      <c r="D35" s="284">
        <f>D27</f>
        <v>0.5</v>
      </c>
      <c r="E35" s="277">
        <f t="shared" ref="E35:L35" si="19">E33*$D$11</f>
        <v>0</v>
      </c>
      <c r="F35" s="277">
        <f t="shared" si="19"/>
        <v>0</v>
      </c>
      <c r="G35" s="277">
        <f t="shared" si="19"/>
        <v>0</v>
      </c>
      <c r="H35" s="277">
        <f t="shared" si="19"/>
        <v>0</v>
      </c>
      <c r="I35" s="277">
        <f t="shared" si="19"/>
        <v>9.28125</v>
      </c>
      <c r="J35" s="277">
        <f t="shared" si="19"/>
        <v>9.28125</v>
      </c>
      <c r="K35" s="277">
        <f t="shared" si="19"/>
        <v>2.7562500000000001</v>
      </c>
      <c r="L35" s="278">
        <f t="shared" si="19"/>
        <v>-0.16875000000000001</v>
      </c>
    </row>
    <row r="36" spans="1:12" ht="13.5" thickBot="1">
      <c r="A36" s="279" t="s">
        <v>258</v>
      </c>
      <c r="B36" s="280"/>
      <c r="C36" s="281"/>
      <c r="D36" s="282"/>
      <c r="E36" s="281"/>
      <c r="F36" s="281"/>
      <c r="G36" s="281"/>
      <c r="H36" s="281"/>
      <c r="I36" s="281"/>
      <c r="J36" s="281"/>
      <c r="K36" s="281"/>
      <c r="L36" s="283"/>
    </row>
    <row r="37" spans="1:12" outlineLevel="1">
      <c r="A37" s="261" t="str">
        <f t="shared" ref="A37:A43" si="20">A29</f>
        <v>Поголовье коров</v>
      </c>
      <c r="B37" s="262"/>
      <c r="C37" s="263"/>
      <c r="D37" s="264"/>
      <c r="E37" s="266"/>
      <c r="F37" s="266"/>
      <c r="G37" s="266"/>
      <c r="H37" s="266"/>
      <c r="I37" s="266"/>
      <c r="J37" s="266">
        <f>H11+H19+H27</f>
        <v>22.35</v>
      </c>
      <c r="K37" s="266"/>
      <c r="L37" s="267"/>
    </row>
    <row r="38" spans="1:12" outlineLevel="1">
      <c r="A38" s="268" t="str">
        <f t="shared" si="20"/>
        <v>Выбраковка</v>
      </c>
      <c r="B38" s="269"/>
      <c r="C38" s="150"/>
      <c r="D38" s="270">
        <f>D30</f>
        <v>0.33333333333333331</v>
      </c>
      <c r="E38" s="150"/>
      <c r="F38" s="157"/>
      <c r="G38" s="157"/>
      <c r="H38" s="157"/>
      <c r="I38" s="157"/>
      <c r="J38" s="157"/>
      <c r="K38" s="157"/>
      <c r="L38" s="285">
        <f>$H$21*$D$14</f>
        <v>7.5</v>
      </c>
    </row>
    <row r="39" spans="1:12" outlineLevel="1">
      <c r="A39" s="268" t="str">
        <f t="shared" si="20"/>
        <v>Отделение от стада</v>
      </c>
      <c r="B39" s="269"/>
      <c r="C39" s="150"/>
      <c r="D39" s="270"/>
      <c r="E39" s="149"/>
      <c r="F39" s="149"/>
      <c r="G39" s="149"/>
      <c r="H39" s="149"/>
      <c r="I39" s="149"/>
      <c r="J39" s="149"/>
      <c r="K39" s="149"/>
      <c r="L39" s="272">
        <v>13</v>
      </c>
    </row>
    <row r="40" spans="1:12" outlineLevel="1">
      <c r="A40" s="268" t="str">
        <f t="shared" si="20"/>
        <v>Поголовье коров</v>
      </c>
      <c r="B40" s="269"/>
      <c r="C40" s="150"/>
      <c r="D40" s="270"/>
      <c r="E40" s="150">
        <f>E37-E38-E39</f>
        <v>0</v>
      </c>
      <c r="F40" s="150">
        <f t="shared" ref="F40:L40" si="21">E40+F37-F38-F39</f>
        <v>0</v>
      </c>
      <c r="G40" s="150">
        <f t="shared" si="21"/>
        <v>0</v>
      </c>
      <c r="H40" s="150">
        <f t="shared" si="21"/>
        <v>0</v>
      </c>
      <c r="I40" s="150">
        <f t="shared" si="21"/>
        <v>0</v>
      </c>
      <c r="J40" s="150">
        <f t="shared" si="21"/>
        <v>22.35</v>
      </c>
      <c r="K40" s="150">
        <f t="shared" si="21"/>
        <v>22.35</v>
      </c>
      <c r="L40" s="273">
        <f t="shared" si="21"/>
        <v>1.8500000000000014</v>
      </c>
    </row>
    <row r="41" spans="1:12" outlineLevel="1">
      <c r="A41" s="274" t="str">
        <f t="shared" si="20"/>
        <v>Кол-во полученного приплода</v>
      </c>
      <c r="B41" s="269"/>
      <c r="C41" s="150"/>
      <c r="D41" s="270">
        <f>D33</f>
        <v>0.9</v>
      </c>
      <c r="E41" s="150">
        <f t="shared" ref="E41:L41" si="22">E40*$D$9</f>
        <v>0</v>
      </c>
      <c r="F41" s="150">
        <f t="shared" si="22"/>
        <v>0</v>
      </c>
      <c r="G41" s="150">
        <f t="shared" si="22"/>
        <v>0</v>
      </c>
      <c r="H41" s="150">
        <f t="shared" si="22"/>
        <v>0</v>
      </c>
      <c r="I41" s="150">
        <f t="shared" si="22"/>
        <v>0</v>
      </c>
      <c r="J41" s="150">
        <f t="shared" si="22"/>
        <v>20.115000000000002</v>
      </c>
      <c r="K41" s="150">
        <f t="shared" si="22"/>
        <v>20.115000000000002</v>
      </c>
      <c r="L41" s="273">
        <f t="shared" si="22"/>
        <v>1.6650000000000014</v>
      </c>
    </row>
    <row r="42" spans="1:12" outlineLevel="1">
      <c r="A42" s="274" t="str">
        <f t="shared" si="20"/>
        <v>в т.ч. поголовье бычков</v>
      </c>
      <c r="B42" s="269"/>
      <c r="C42" s="150"/>
      <c r="D42" s="270">
        <f>D34</f>
        <v>0.5</v>
      </c>
      <c r="E42" s="150">
        <f t="shared" ref="E42:L42" si="23">E41*$D$10</f>
        <v>0</v>
      </c>
      <c r="F42" s="150">
        <f t="shared" si="23"/>
        <v>0</v>
      </c>
      <c r="G42" s="150">
        <f t="shared" si="23"/>
        <v>0</v>
      </c>
      <c r="H42" s="150">
        <f t="shared" si="23"/>
        <v>0</v>
      </c>
      <c r="I42" s="150">
        <f t="shared" si="23"/>
        <v>0</v>
      </c>
      <c r="J42" s="150">
        <f t="shared" si="23"/>
        <v>10.057500000000001</v>
      </c>
      <c r="K42" s="150">
        <f t="shared" si="23"/>
        <v>10.057500000000001</v>
      </c>
      <c r="L42" s="273">
        <f t="shared" si="23"/>
        <v>0.83250000000000068</v>
      </c>
    </row>
    <row r="43" spans="1:12" ht="13.5" outlineLevel="1" thickBot="1">
      <c r="A43" s="275" t="str">
        <f t="shared" si="20"/>
        <v>поголовье телок</v>
      </c>
      <c r="B43" s="276"/>
      <c r="C43" s="277"/>
      <c r="D43" s="284">
        <f>D35</f>
        <v>0.5</v>
      </c>
      <c r="E43" s="277">
        <f t="shared" ref="E43:L43" si="24">E41*$D$11</f>
        <v>0</v>
      </c>
      <c r="F43" s="277">
        <f t="shared" si="24"/>
        <v>0</v>
      </c>
      <c r="G43" s="277">
        <f t="shared" si="24"/>
        <v>0</v>
      </c>
      <c r="H43" s="277">
        <f t="shared" si="24"/>
        <v>0</v>
      </c>
      <c r="I43" s="277">
        <f t="shared" si="24"/>
        <v>0</v>
      </c>
      <c r="J43" s="277">
        <f t="shared" si="24"/>
        <v>10.057500000000001</v>
      </c>
      <c r="K43" s="277">
        <f t="shared" si="24"/>
        <v>10.057500000000001</v>
      </c>
      <c r="L43" s="278">
        <f t="shared" si="24"/>
        <v>0.83250000000000068</v>
      </c>
    </row>
    <row r="44" spans="1:12" ht="13.5" thickBot="1">
      <c r="A44" s="279" t="s">
        <v>259</v>
      </c>
      <c r="B44" s="280"/>
      <c r="C44" s="281"/>
      <c r="D44" s="282"/>
      <c r="E44" s="281"/>
      <c r="F44" s="281"/>
      <c r="G44" s="281"/>
      <c r="H44" s="281"/>
      <c r="I44" s="281"/>
      <c r="J44" s="281"/>
      <c r="K44" s="281"/>
      <c r="L44" s="283"/>
    </row>
    <row r="45" spans="1:12" outlineLevel="1">
      <c r="A45" s="261" t="str">
        <f t="shared" ref="A45:A51" si="25">A37</f>
        <v>Поголовье коров</v>
      </c>
      <c r="B45" s="262"/>
      <c r="C45" s="263"/>
      <c r="D45" s="264"/>
      <c r="E45" s="266"/>
      <c r="F45" s="266"/>
      <c r="G45" s="266"/>
      <c r="H45" s="266"/>
      <c r="I45" s="266"/>
      <c r="J45" s="266"/>
      <c r="K45" s="266">
        <f>I11+I19+I27+I35</f>
        <v>25.706250000000004</v>
      </c>
      <c r="L45" s="267"/>
    </row>
    <row r="46" spans="1:12" outlineLevel="1">
      <c r="A46" s="268" t="str">
        <f t="shared" si="25"/>
        <v>Выбраковка</v>
      </c>
      <c r="B46" s="269"/>
      <c r="C46" s="150"/>
      <c r="D46" s="270">
        <f>D38</f>
        <v>0.33333333333333331</v>
      </c>
      <c r="E46" s="150"/>
      <c r="F46" s="157"/>
      <c r="G46" s="157"/>
      <c r="H46" s="157"/>
      <c r="I46" s="157"/>
      <c r="J46" s="157"/>
      <c r="K46" s="157"/>
      <c r="L46" s="286"/>
    </row>
    <row r="47" spans="1:12" outlineLevel="1">
      <c r="A47" s="268" t="str">
        <f t="shared" si="25"/>
        <v>Отделение от стада</v>
      </c>
      <c r="B47" s="269"/>
      <c r="C47" s="150"/>
      <c r="D47" s="270"/>
      <c r="E47" s="149"/>
      <c r="F47" s="149"/>
      <c r="G47" s="149"/>
      <c r="H47" s="149"/>
      <c r="I47" s="149"/>
      <c r="J47" s="149"/>
      <c r="K47" s="149"/>
      <c r="L47" s="272">
        <v>10</v>
      </c>
    </row>
    <row r="48" spans="1:12" outlineLevel="1">
      <c r="A48" s="268" t="str">
        <f t="shared" si="25"/>
        <v>Поголовье коров</v>
      </c>
      <c r="B48" s="269"/>
      <c r="C48" s="150"/>
      <c r="D48" s="270"/>
      <c r="E48" s="150">
        <f>E45-E46-E47</f>
        <v>0</v>
      </c>
      <c r="F48" s="150">
        <f t="shared" ref="F48:L48" si="26">E48+F45-F46-F47</f>
        <v>0</v>
      </c>
      <c r="G48" s="150">
        <f t="shared" si="26"/>
        <v>0</v>
      </c>
      <c r="H48" s="150">
        <f t="shared" si="26"/>
        <v>0</v>
      </c>
      <c r="I48" s="150">
        <f t="shared" si="26"/>
        <v>0</v>
      </c>
      <c r="J48" s="150">
        <f t="shared" si="26"/>
        <v>0</v>
      </c>
      <c r="K48" s="150">
        <f t="shared" si="26"/>
        <v>25.706250000000004</v>
      </c>
      <c r="L48" s="273">
        <f t="shared" si="26"/>
        <v>15.706250000000004</v>
      </c>
    </row>
    <row r="49" spans="1:12" outlineLevel="1">
      <c r="A49" s="274" t="str">
        <f t="shared" si="25"/>
        <v>Кол-во полученного приплода</v>
      </c>
      <c r="B49" s="269"/>
      <c r="C49" s="150"/>
      <c r="D49" s="270">
        <f>D41</f>
        <v>0.9</v>
      </c>
      <c r="E49" s="150">
        <f t="shared" ref="E49:L49" si="27">E48*$D$9</f>
        <v>0</v>
      </c>
      <c r="F49" s="150">
        <f t="shared" si="27"/>
        <v>0</v>
      </c>
      <c r="G49" s="150">
        <f t="shared" si="27"/>
        <v>0</v>
      </c>
      <c r="H49" s="150">
        <f t="shared" si="27"/>
        <v>0</v>
      </c>
      <c r="I49" s="150">
        <f t="shared" si="27"/>
        <v>0</v>
      </c>
      <c r="J49" s="150">
        <f t="shared" si="27"/>
        <v>0</v>
      </c>
      <c r="K49" s="150">
        <f t="shared" si="27"/>
        <v>23.135625000000005</v>
      </c>
      <c r="L49" s="273">
        <f t="shared" si="27"/>
        <v>14.135625000000005</v>
      </c>
    </row>
    <row r="50" spans="1:12" outlineLevel="1">
      <c r="A50" s="274" t="str">
        <f t="shared" si="25"/>
        <v>в т.ч. поголовье бычков</v>
      </c>
      <c r="B50" s="269"/>
      <c r="C50" s="150"/>
      <c r="D50" s="270">
        <f>D42</f>
        <v>0.5</v>
      </c>
      <c r="E50" s="150">
        <f t="shared" ref="E50:L50" si="28">E49*$D$10</f>
        <v>0</v>
      </c>
      <c r="F50" s="150">
        <f t="shared" si="28"/>
        <v>0</v>
      </c>
      <c r="G50" s="150">
        <f t="shared" si="28"/>
        <v>0</v>
      </c>
      <c r="H50" s="150">
        <f t="shared" si="28"/>
        <v>0</v>
      </c>
      <c r="I50" s="150">
        <f t="shared" si="28"/>
        <v>0</v>
      </c>
      <c r="J50" s="150">
        <f t="shared" si="28"/>
        <v>0</v>
      </c>
      <c r="K50" s="150">
        <f t="shared" si="28"/>
        <v>11.567812500000002</v>
      </c>
      <c r="L50" s="273">
        <f t="shared" si="28"/>
        <v>7.0678125000000023</v>
      </c>
    </row>
    <row r="51" spans="1:12" ht="13.5" outlineLevel="1" thickBot="1">
      <c r="A51" s="275" t="str">
        <f t="shared" si="25"/>
        <v>поголовье телок</v>
      </c>
      <c r="B51" s="276"/>
      <c r="C51" s="277"/>
      <c r="D51" s="284">
        <f>D43</f>
        <v>0.5</v>
      </c>
      <c r="E51" s="277">
        <f t="shared" ref="E51:L51" si="29">E49*$D$11</f>
        <v>0</v>
      </c>
      <c r="F51" s="277">
        <f t="shared" si="29"/>
        <v>0</v>
      </c>
      <c r="G51" s="277">
        <f t="shared" si="29"/>
        <v>0</v>
      </c>
      <c r="H51" s="277">
        <f t="shared" si="29"/>
        <v>0</v>
      </c>
      <c r="I51" s="277">
        <f t="shared" si="29"/>
        <v>0</v>
      </c>
      <c r="J51" s="277">
        <f t="shared" si="29"/>
        <v>0</v>
      </c>
      <c r="K51" s="277">
        <f t="shared" si="29"/>
        <v>11.567812500000002</v>
      </c>
      <c r="L51" s="278">
        <f t="shared" si="29"/>
        <v>7.0678125000000023</v>
      </c>
    </row>
    <row r="52" spans="1:12" ht="13.5" thickBot="1">
      <c r="A52" s="279" t="s">
        <v>260</v>
      </c>
      <c r="B52" s="280"/>
      <c r="C52" s="281"/>
      <c r="D52" s="282"/>
      <c r="E52" s="281"/>
      <c r="F52" s="281"/>
      <c r="G52" s="281"/>
      <c r="H52" s="281"/>
      <c r="I52" s="281"/>
      <c r="J52" s="281"/>
      <c r="K52" s="281"/>
      <c r="L52" s="283"/>
    </row>
    <row r="53" spans="1:12" outlineLevel="1">
      <c r="A53" s="261" t="str">
        <f t="shared" ref="A53:A59" si="30">A45</f>
        <v>Поголовье коров</v>
      </c>
      <c r="B53" s="262"/>
      <c r="C53" s="263"/>
      <c r="D53" s="264"/>
      <c r="E53" s="266"/>
      <c r="F53" s="266"/>
      <c r="G53" s="266"/>
      <c r="H53" s="266"/>
      <c r="I53" s="266"/>
      <c r="J53" s="266"/>
      <c r="K53" s="266"/>
      <c r="L53" s="267">
        <f>J11+J19+J27+J35+J43</f>
        <v>26.313750000000002</v>
      </c>
    </row>
    <row r="54" spans="1:12" outlineLevel="1">
      <c r="A54" s="268" t="str">
        <f t="shared" si="30"/>
        <v>Выбраковка</v>
      </c>
      <c r="B54" s="269"/>
      <c r="C54" s="150"/>
      <c r="D54" s="270">
        <f>D46</f>
        <v>0.33333333333333331</v>
      </c>
      <c r="E54" s="150"/>
      <c r="F54" s="157"/>
      <c r="G54" s="157"/>
      <c r="H54" s="157"/>
      <c r="I54" s="157"/>
      <c r="J54" s="157"/>
      <c r="K54" s="157"/>
      <c r="L54" s="286"/>
    </row>
    <row r="55" spans="1:12" outlineLevel="1">
      <c r="A55" s="268" t="str">
        <f t="shared" si="30"/>
        <v>Отделение от стада</v>
      </c>
      <c r="B55" s="269"/>
      <c r="C55" s="150"/>
      <c r="D55" s="270"/>
      <c r="E55" s="149"/>
      <c r="F55" s="149"/>
      <c r="G55" s="149"/>
      <c r="H55" s="149"/>
      <c r="I55" s="149"/>
      <c r="J55" s="149"/>
      <c r="K55" s="149"/>
      <c r="L55" s="272"/>
    </row>
    <row r="56" spans="1:12" outlineLevel="1">
      <c r="A56" s="268" t="str">
        <f t="shared" si="30"/>
        <v>Поголовье коров</v>
      </c>
      <c r="B56" s="269"/>
      <c r="C56" s="150"/>
      <c r="D56" s="270"/>
      <c r="E56" s="150">
        <f>E53-E54-E55</f>
        <v>0</v>
      </c>
      <c r="F56" s="150">
        <f t="shared" ref="F56:L56" si="31">E56+F53-F54-F55</f>
        <v>0</v>
      </c>
      <c r="G56" s="150">
        <f t="shared" si="31"/>
        <v>0</v>
      </c>
      <c r="H56" s="150">
        <f t="shared" si="31"/>
        <v>0</v>
      </c>
      <c r="I56" s="150">
        <f t="shared" si="31"/>
        <v>0</v>
      </c>
      <c r="J56" s="150">
        <f t="shared" si="31"/>
        <v>0</v>
      </c>
      <c r="K56" s="150">
        <f t="shared" si="31"/>
        <v>0</v>
      </c>
      <c r="L56" s="273">
        <f t="shared" si="31"/>
        <v>26.313750000000002</v>
      </c>
    </row>
    <row r="57" spans="1:12" outlineLevel="1">
      <c r="A57" s="274" t="str">
        <f t="shared" si="30"/>
        <v>Кол-во полученного приплода</v>
      </c>
      <c r="B57" s="269"/>
      <c r="C57" s="150"/>
      <c r="D57" s="270">
        <f>D49</f>
        <v>0.9</v>
      </c>
      <c r="E57" s="150">
        <f t="shared" ref="E57:L57" si="32">E56*$D$9</f>
        <v>0</v>
      </c>
      <c r="F57" s="150">
        <f t="shared" si="32"/>
        <v>0</v>
      </c>
      <c r="G57" s="150">
        <f t="shared" si="32"/>
        <v>0</v>
      </c>
      <c r="H57" s="150">
        <f t="shared" si="32"/>
        <v>0</v>
      </c>
      <c r="I57" s="150">
        <f t="shared" si="32"/>
        <v>0</v>
      </c>
      <c r="J57" s="150">
        <f t="shared" si="32"/>
        <v>0</v>
      </c>
      <c r="K57" s="150">
        <f t="shared" si="32"/>
        <v>0</v>
      </c>
      <c r="L57" s="273">
        <f t="shared" si="32"/>
        <v>23.682375000000004</v>
      </c>
    </row>
    <row r="58" spans="1:12" outlineLevel="1">
      <c r="A58" s="274" t="str">
        <f t="shared" si="30"/>
        <v>в т.ч. поголовье бычков</v>
      </c>
      <c r="B58" s="269"/>
      <c r="C58" s="150"/>
      <c r="D58" s="270">
        <f>D50</f>
        <v>0.5</v>
      </c>
      <c r="E58" s="150">
        <f t="shared" ref="E58:L58" si="33">E57*$D$10</f>
        <v>0</v>
      </c>
      <c r="F58" s="150">
        <f t="shared" si="33"/>
        <v>0</v>
      </c>
      <c r="G58" s="150">
        <f t="shared" si="33"/>
        <v>0</v>
      </c>
      <c r="H58" s="150">
        <f t="shared" si="33"/>
        <v>0</v>
      </c>
      <c r="I58" s="150">
        <f t="shared" si="33"/>
        <v>0</v>
      </c>
      <c r="J58" s="150">
        <f t="shared" si="33"/>
        <v>0</v>
      </c>
      <c r="K58" s="150">
        <f t="shared" si="33"/>
        <v>0</v>
      </c>
      <c r="L58" s="273">
        <f t="shared" si="33"/>
        <v>11.841187500000002</v>
      </c>
    </row>
    <row r="59" spans="1:12" ht="13.5" outlineLevel="1" thickBot="1">
      <c r="A59" s="275" t="str">
        <f t="shared" si="30"/>
        <v>поголовье телок</v>
      </c>
      <c r="B59" s="276"/>
      <c r="C59" s="277"/>
      <c r="D59" s="284">
        <f>D51</f>
        <v>0.5</v>
      </c>
      <c r="E59" s="277">
        <f t="shared" ref="E59:L59" si="34">E57*$D$11</f>
        <v>0</v>
      </c>
      <c r="F59" s="277">
        <f t="shared" si="34"/>
        <v>0</v>
      </c>
      <c r="G59" s="277">
        <f t="shared" si="34"/>
        <v>0</v>
      </c>
      <c r="H59" s="277">
        <f t="shared" si="34"/>
        <v>0</v>
      </c>
      <c r="I59" s="277">
        <f t="shared" si="34"/>
        <v>0</v>
      </c>
      <c r="J59" s="277">
        <f t="shared" si="34"/>
        <v>0</v>
      </c>
      <c r="K59" s="277">
        <f t="shared" si="34"/>
        <v>0</v>
      </c>
      <c r="L59" s="278">
        <f t="shared" si="34"/>
        <v>11.841187500000002</v>
      </c>
    </row>
    <row r="60" spans="1:12" ht="13.5" thickBot="1">
      <c r="A60" s="287"/>
      <c r="B60" s="288"/>
      <c r="C60" s="289"/>
      <c r="D60" s="289"/>
      <c r="E60" s="289"/>
      <c r="F60" s="289"/>
      <c r="G60" s="289"/>
      <c r="H60" s="289"/>
      <c r="I60" s="289"/>
      <c r="J60" s="289"/>
      <c r="K60" s="289"/>
      <c r="L60" s="290"/>
    </row>
    <row r="61" spans="1:12">
      <c r="A61" s="261" t="s">
        <v>290</v>
      </c>
      <c r="B61" s="262"/>
      <c r="C61" s="263"/>
      <c r="D61" s="291"/>
      <c r="E61" s="263">
        <f>E10+E18+E26+E34+E42+E50+E58-E67</f>
        <v>22.5</v>
      </c>
      <c r="F61" s="263">
        <f t="shared" ref="F61:L61" si="35">E61+F10+F18+F26+F34+F42+F50+F58-F67</f>
        <v>22.5</v>
      </c>
      <c r="G61" s="263">
        <f t="shared" si="35"/>
        <v>20.625</v>
      </c>
      <c r="H61" s="263">
        <f t="shared" si="35"/>
        <v>22.35</v>
      </c>
      <c r="I61" s="263">
        <f t="shared" si="35"/>
        <v>25.706250000000004</v>
      </c>
      <c r="J61" s="263">
        <f t="shared" si="35"/>
        <v>26.313750000000006</v>
      </c>
      <c r="K61" s="263">
        <f t="shared" si="35"/>
        <v>24.606562500000013</v>
      </c>
      <c r="L61" s="267">
        <f t="shared" si="35"/>
        <v>19.572750000000017</v>
      </c>
    </row>
    <row r="62" spans="1:12">
      <c r="A62" s="274" t="s">
        <v>261</v>
      </c>
      <c r="B62" s="269"/>
      <c r="C62" s="150"/>
      <c r="D62" s="270"/>
      <c r="E62" s="150">
        <f>Исх!$C$28</f>
        <v>2</v>
      </c>
      <c r="F62" s="150">
        <f t="shared" ref="F62:L62" si="36">E62</f>
        <v>2</v>
      </c>
      <c r="G62" s="150">
        <f t="shared" si="36"/>
        <v>2</v>
      </c>
      <c r="H62" s="150">
        <f t="shared" si="36"/>
        <v>2</v>
      </c>
      <c r="I62" s="150">
        <f t="shared" si="36"/>
        <v>2</v>
      </c>
      <c r="J62" s="150">
        <f t="shared" si="36"/>
        <v>2</v>
      </c>
      <c r="K62" s="150">
        <f t="shared" si="36"/>
        <v>2</v>
      </c>
      <c r="L62" s="273">
        <f t="shared" si="36"/>
        <v>2</v>
      </c>
    </row>
    <row r="63" spans="1:12">
      <c r="A63" s="274" t="s">
        <v>289</v>
      </c>
      <c r="B63" s="269"/>
      <c r="C63" s="150"/>
      <c r="D63" s="270"/>
      <c r="E63" s="150">
        <f>E11+E19+E27+E35+E43+E51+E59-E68</f>
        <v>22.5</v>
      </c>
      <c r="F63" s="150">
        <f t="shared" ref="F63:L63" si="37">E63+F11+F19+F27+F35+F43+F51+F59-F68</f>
        <v>45</v>
      </c>
      <c r="G63" s="150">
        <f t="shared" si="37"/>
        <v>43.125</v>
      </c>
      <c r="H63" s="150">
        <f t="shared" si="37"/>
        <v>42.974999999999994</v>
      </c>
      <c r="I63" s="150">
        <f t="shared" si="37"/>
        <v>48.056249999999991</v>
      </c>
      <c r="J63" s="150">
        <f t="shared" si="37"/>
        <v>52.02</v>
      </c>
      <c r="K63" s="150">
        <f t="shared" si="37"/>
        <v>50.920312500000001</v>
      </c>
      <c r="L63" s="273">
        <f t="shared" si="37"/>
        <v>44.179312500000009</v>
      </c>
    </row>
    <row r="64" spans="1:12" ht="13.5" thickBot="1">
      <c r="A64" s="300" t="s">
        <v>250</v>
      </c>
      <c r="B64" s="301"/>
      <c r="C64" s="302"/>
      <c r="D64" s="303"/>
      <c r="E64" s="302">
        <f>E5</f>
        <v>50</v>
      </c>
      <c r="F64" s="302">
        <f t="shared" ref="F64:L64" si="38">E64+F68-F69-F70</f>
        <v>50</v>
      </c>
      <c r="G64" s="302">
        <f t="shared" si="38"/>
        <v>45.833333333333336</v>
      </c>
      <c r="H64" s="302">
        <f t="shared" si="38"/>
        <v>49.666666666666679</v>
      </c>
      <c r="I64" s="302">
        <f t="shared" si="38"/>
        <v>57.125000000000021</v>
      </c>
      <c r="J64" s="302">
        <f t="shared" si="38"/>
        <v>58.475000000000023</v>
      </c>
      <c r="K64" s="302">
        <f t="shared" si="38"/>
        <v>54.681250000000034</v>
      </c>
      <c r="L64" s="278">
        <f t="shared" si="38"/>
        <v>43.495000000000033</v>
      </c>
    </row>
    <row r="65" spans="1:18">
      <c r="A65" s="304" t="s">
        <v>294</v>
      </c>
      <c r="B65" s="305"/>
      <c r="C65" s="306"/>
      <c r="D65" s="307"/>
      <c r="E65" s="306">
        <f>E62+E64</f>
        <v>52</v>
      </c>
      <c r="F65" s="306">
        <f t="shared" ref="F65:L65" si="39">(E65+F62+F64)/2</f>
        <v>52</v>
      </c>
      <c r="G65" s="306">
        <f t="shared" si="39"/>
        <v>49.916666666666671</v>
      </c>
      <c r="H65" s="306">
        <f t="shared" si="39"/>
        <v>50.791666666666671</v>
      </c>
      <c r="I65" s="306">
        <f t="shared" si="39"/>
        <v>54.958333333333343</v>
      </c>
      <c r="J65" s="306">
        <f t="shared" si="39"/>
        <v>57.716666666666683</v>
      </c>
      <c r="K65" s="306">
        <f t="shared" si="39"/>
        <v>57.198958333333358</v>
      </c>
      <c r="L65" s="308">
        <f t="shared" si="39"/>
        <v>51.346979166666699</v>
      </c>
    </row>
    <row r="66" spans="1:18" ht="13.5" thickBot="1">
      <c r="A66" s="309" t="s">
        <v>295</v>
      </c>
      <c r="B66" s="310"/>
      <c r="C66" s="311"/>
      <c r="D66" s="312"/>
      <c r="E66" s="311">
        <f>E61+E63</f>
        <v>45</v>
      </c>
      <c r="F66" s="311">
        <f t="shared" ref="F66:L66" si="40">(E66+F61+F63)/2</f>
        <v>56.25</v>
      </c>
      <c r="G66" s="311">
        <f t="shared" si="40"/>
        <v>60</v>
      </c>
      <c r="H66" s="311">
        <f t="shared" si="40"/>
        <v>62.662499999999994</v>
      </c>
      <c r="I66" s="311">
        <f t="shared" si="40"/>
        <v>68.212500000000006</v>
      </c>
      <c r="J66" s="311">
        <f t="shared" si="40"/>
        <v>73.273125000000007</v>
      </c>
      <c r="K66" s="311">
        <f t="shared" si="40"/>
        <v>74.400000000000006</v>
      </c>
      <c r="L66" s="313">
        <f t="shared" si="40"/>
        <v>69.076031250000014</v>
      </c>
    </row>
    <row r="67" spans="1:18">
      <c r="A67" s="261" t="s">
        <v>262</v>
      </c>
      <c r="B67" s="262"/>
      <c r="C67" s="263"/>
      <c r="D67" s="291"/>
      <c r="E67" s="263"/>
      <c r="F67" s="263">
        <f t="shared" ref="F67:L67" si="41">E10+E18+E26+E34+E42+E50+E58</f>
        <v>22.5</v>
      </c>
      <c r="G67" s="263">
        <f t="shared" si="41"/>
        <v>22.5</v>
      </c>
      <c r="H67" s="263">
        <f t="shared" si="41"/>
        <v>20.625</v>
      </c>
      <c r="I67" s="263">
        <f t="shared" si="41"/>
        <v>22.35</v>
      </c>
      <c r="J67" s="263">
        <f t="shared" si="41"/>
        <v>25.706250000000004</v>
      </c>
      <c r="K67" s="263">
        <f t="shared" si="41"/>
        <v>26.313750000000002</v>
      </c>
      <c r="L67" s="292">
        <f t="shared" si="41"/>
        <v>24.606562500000006</v>
      </c>
      <c r="M67" s="208">
        <f>SUM(F67:L67)</f>
        <v>164.6015625</v>
      </c>
      <c r="N67" s="208" t="s">
        <v>291</v>
      </c>
    </row>
    <row r="68" spans="1:18">
      <c r="A68" s="274" t="s">
        <v>292</v>
      </c>
      <c r="B68" s="269"/>
      <c r="C68" s="150"/>
      <c r="D68" s="270"/>
      <c r="E68" s="150"/>
      <c r="F68" s="150"/>
      <c r="G68" s="150">
        <f t="shared" ref="G68:L68" si="42">E11+E19+E27+E35+E43+E51+E59</f>
        <v>22.5</v>
      </c>
      <c r="H68" s="150">
        <f t="shared" si="42"/>
        <v>22.5</v>
      </c>
      <c r="I68" s="150">
        <f t="shared" si="42"/>
        <v>20.625</v>
      </c>
      <c r="J68" s="150">
        <f t="shared" si="42"/>
        <v>22.35</v>
      </c>
      <c r="K68" s="150">
        <f t="shared" si="42"/>
        <v>25.706250000000004</v>
      </c>
      <c r="L68" s="273">
        <f t="shared" si="42"/>
        <v>26.313750000000002</v>
      </c>
      <c r="N68" s="78" t="s">
        <v>293</v>
      </c>
    </row>
    <row r="69" spans="1:18">
      <c r="A69" s="274" t="s">
        <v>263</v>
      </c>
      <c r="B69" s="269"/>
      <c r="C69" s="150"/>
      <c r="D69" s="270"/>
      <c r="E69" s="150">
        <f t="shared" ref="E69:L70" si="43">E6+E14+E22+E30+E38+E46+E54</f>
        <v>0</v>
      </c>
      <c r="F69" s="150">
        <f t="shared" si="43"/>
        <v>0</v>
      </c>
      <c r="G69" s="150">
        <f>G6+G14+G22+G30+G38+G46+G54</f>
        <v>16.666666666666664</v>
      </c>
      <c r="H69" s="150">
        <f t="shared" si="43"/>
        <v>6.6666666666666643</v>
      </c>
      <c r="I69" s="150">
        <f t="shared" si="43"/>
        <v>12.166666666666664</v>
      </c>
      <c r="J69" s="150">
        <f t="shared" si="43"/>
        <v>14</v>
      </c>
      <c r="K69" s="150">
        <f t="shared" si="43"/>
        <v>15.5</v>
      </c>
      <c r="L69" s="273">
        <f t="shared" si="43"/>
        <v>8.5</v>
      </c>
      <c r="M69" s="208">
        <f>SUM(F69:L69)</f>
        <v>73.5</v>
      </c>
    </row>
    <row r="70" spans="1:18" ht="13.5" thickBot="1">
      <c r="A70" s="275" t="s">
        <v>375</v>
      </c>
      <c r="B70" s="276"/>
      <c r="C70" s="277"/>
      <c r="D70" s="284"/>
      <c r="E70" s="277">
        <f t="shared" si="43"/>
        <v>0</v>
      </c>
      <c r="F70" s="277">
        <f t="shared" si="43"/>
        <v>0</v>
      </c>
      <c r="G70" s="277">
        <f>G7+G15+G23+G31+G39+G47+G55</f>
        <v>10</v>
      </c>
      <c r="H70" s="277">
        <f t="shared" si="43"/>
        <v>12</v>
      </c>
      <c r="I70" s="277">
        <f t="shared" si="43"/>
        <v>1</v>
      </c>
      <c r="J70" s="277">
        <f t="shared" si="43"/>
        <v>7</v>
      </c>
      <c r="K70" s="277">
        <f t="shared" si="43"/>
        <v>14</v>
      </c>
      <c r="L70" s="278">
        <f t="shared" si="43"/>
        <v>29</v>
      </c>
      <c r="M70" s="208"/>
    </row>
    <row r="71" spans="1:18">
      <c r="B71" s="78"/>
    </row>
    <row r="72" spans="1:18">
      <c r="A72" s="62"/>
    </row>
    <row r="73" spans="1:18">
      <c r="A73" s="227" t="s">
        <v>297</v>
      </c>
      <c r="B73" s="250"/>
      <c r="C73" s="318" t="s">
        <v>264</v>
      </c>
      <c r="D73" s="319" t="s">
        <v>265</v>
      </c>
      <c r="E73" s="318">
        <f>E3</f>
        <v>2012</v>
      </c>
      <c r="F73" s="318">
        <f t="shared" ref="F73:L73" si="44">F3</f>
        <v>2013</v>
      </c>
      <c r="G73" s="318">
        <f t="shared" si="44"/>
        <v>2014</v>
      </c>
      <c r="H73" s="318">
        <f t="shared" si="44"/>
        <v>2015</v>
      </c>
      <c r="I73" s="318">
        <f t="shared" si="44"/>
        <v>2016</v>
      </c>
      <c r="J73" s="318">
        <f t="shared" si="44"/>
        <v>2017</v>
      </c>
      <c r="K73" s="318">
        <f t="shared" si="44"/>
        <v>2018</v>
      </c>
      <c r="L73" s="318">
        <f t="shared" si="44"/>
        <v>2019</v>
      </c>
      <c r="M73" s="336">
        <f>SUM(M74:M75)</f>
        <v>14.31736132533333</v>
      </c>
      <c r="O73" s="78" t="s">
        <v>266</v>
      </c>
    </row>
    <row r="74" spans="1:18">
      <c r="A74" s="81" t="s">
        <v>267</v>
      </c>
      <c r="B74" s="83" t="s">
        <v>268</v>
      </c>
      <c r="C74" s="247">
        <f>Исх!C21</f>
        <v>570.4</v>
      </c>
      <c r="D74" s="270">
        <f>Исх!$C$22</f>
        <v>0.58399999999999996</v>
      </c>
      <c r="E74" s="150">
        <f t="shared" ref="E74:L74" si="45">E67*$C$74*$D$74</f>
        <v>0</v>
      </c>
      <c r="F74" s="150">
        <f>F67*$C$74*$D$74</f>
        <v>7495.0559999999996</v>
      </c>
      <c r="G74" s="150">
        <f>G67*$C$74*$D$74</f>
        <v>7495.0559999999996</v>
      </c>
      <c r="H74" s="150">
        <f t="shared" si="45"/>
        <v>6870.4679999999998</v>
      </c>
      <c r="I74" s="150">
        <f t="shared" si="45"/>
        <v>7445.08896</v>
      </c>
      <c r="J74" s="150">
        <f t="shared" si="45"/>
        <v>8563.1014799999994</v>
      </c>
      <c r="K74" s="150">
        <f t="shared" si="45"/>
        <v>8765.4679919999999</v>
      </c>
      <c r="L74" s="150">
        <f t="shared" si="45"/>
        <v>8196.7806180000007</v>
      </c>
      <c r="M74" s="337">
        <f>MAX(E74:L74)/1000</f>
        <v>8.7654679919999996</v>
      </c>
      <c r="O74" s="78">
        <f>90/12/4</f>
        <v>1.875</v>
      </c>
      <c r="P74" s="296" t="s">
        <v>269</v>
      </c>
      <c r="Q74" s="339">
        <f>2/0.4</f>
        <v>5</v>
      </c>
      <c r="R74" s="78" t="s">
        <v>270</v>
      </c>
    </row>
    <row r="75" spans="1:18">
      <c r="A75" s="81" t="s">
        <v>376</v>
      </c>
      <c r="B75" s="83" t="s">
        <v>268</v>
      </c>
      <c r="C75" s="247">
        <f>C74</f>
        <v>570.4</v>
      </c>
      <c r="D75" s="270">
        <f>D74</f>
        <v>0.58399999999999996</v>
      </c>
      <c r="E75" s="150">
        <f>E69*$C$75*$D$75</f>
        <v>0</v>
      </c>
      <c r="F75" s="150">
        <f t="shared" ref="F75:L75" si="46">F69*$C$75*$D$75</f>
        <v>0</v>
      </c>
      <c r="G75" s="150">
        <f t="shared" si="46"/>
        <v>5551.8933333333316</v>
      </c>
      <c r="H75" s="150">
        <f t="shared" si="46"/>
        <v>2220.7573333333321</v>
      </c>
      <c r="I75" s="150">
        <f t="shared" si="46"/>
        <v>4052.8821333333321</v>
      </c>
      <c r="J75" s="150">
        <f t="shared" si="46"/>
        <v>4663.5903999999991</v>
      </c>
      <c r="K75" s="150">
        <f t="shared" si="46"/>
        <v>5163.2607999999991</v>
      </c>
      <c r="L75" s="150">
        <f t="shared" si="46"/>
        <v>2831.4655999999995</v>
      </c>
      <c r="M75" s="337">
        <f>MAX(E75:L75)/1000</f>
        <v>5.5518933333333313</v>
      </c>
    </row>
    <row r="76" spans="1:18">
      <c r="A76" s="159" t="s">
        <v>0</v>
      </c>
      <c r="B76" s="316"/>
      <c r="C76" s="320"/>
      <c r="D76" s="321"/>
      <c r="E76" s="320">
        <f>SUM(E74:E75)</f>
        <v>0</v>
      </c>
      <c r="F76" s="320">
        <f t="shared" ref="F76:L76" si="47">SUM(F74:F75)</f>
        <v>7495.0559999999996</v>
      </c>
      <c r="G76" s="320">
        <f t="shared" si="47"/>
        <v>13046.94933333333</v>
      </c>
      <c r="H76" s="320">
        <f t="shared" si="47"/>
        <v>9091.2253333333319</v>
      </c>
      <c r="I76" s="320">
        <f t="shared" si="47"/>
        <v>11497.971093333332</v>
      </c>
      <c r="J76" s="320">
        <f t="shared" si="47"/>
        <v>13226.691879999998</v>
      </c>
      <c r="K76" s="320">
        <f t="shared" si="47"/>
        <v>13928.728791999998</v>
      </c>
      <c r="L76" s="320">
        <f t="shared" si="47"/>
        <v>11028.246218</v>
      </c>
      <c r="M76" s="338" t="s">
        <v>348</v>
      </c>
      <c r="O76" s="181" t="s">
        <v>271</v>
      </c>
      <c r="P76" s="340"/>
      <c r="Q76" s="340"/>
      <c r="R76" s="341"/>
    </row>
    <row r="77" spans="1:18">
      <c r="B77" s="78"/>
    </row>
    <row r="78" spans="1:18">
      <c r="A78" s="227" t="s">
        <v>377</v>
      </c>
      <c r="B78" s="250"/>
      <c r="C78" s="318"/>
      <c r="D78" s="319"/>
      <c r="E78" s="318">
        <f>E73</f>
        <v>2012</v>
      </c>
      <c r="F78" s="318">
        <f t="shared" ref="F78:L78" si="48">F73</f>
        <v>2013</v>
      </c>
      <c r="G78" s="318">
        <f t="shared" si="48"/>
        <v>2014</v>
      </c>
      <c r="H78" s="318">
        <f t="shared" si="48"/>
        <v>2015</v>
      </c>
      <c r="I78" s="318">
        <f t="shared" si="48"/>
        <v>2016</v>
      </c>
      <c r="J78" s="318">
        <f t="shared" si="48"/>
        <v>2017</v>
      </c>
      <c r="K78" s="318">
        <f t="shared" si="48"/>
        <v>2018</v>
      </c>
      <c r="L78" s="318">
        <f t="shared" si="48"/>
        <v>2019</v>
      </c>
    </row>
    <row r="79" spans="1:18">
      <c r="A79" s="81" t="s">
        <v>378</v>
      </c>
      <c r="B79" s="83"/>
      <c r="C79" s="247"/>
      <c r="D79" s="270"/>
      <c r="E79" s="150">
        <f>E70</f>
        <v>0</v>
      </c>
      <c r="F79" s="150">
        <f t="shared" ref="F79:L79" si="49">F70</f>
        <v>0</v>
      </c>
      <c r="G79" s="150">
        <f t="shared" si="49"/>
        <v>10</v>
      </c>
      <c r="H79" s="150">
        <f t="shared" si="49"/>
        <v>12</v>
      </c>
      <c r="I79" s="150">
        <f t="shared" si="49"/>
        <v>1</v>
      </c>
      <c r="J79" s="150">
        <f t="shared" si="49"/>
        <v>7</v>
      </c>
      <c r="K79" s="150">
        <f t="shared" si="49"/>
        <v>14</v>
      </c>
      <c r="L79" s="150">
        <f t="shared" si="49"/>
        <v>29</v>
      </c>
    </row>
    <row r="80" spans="1:18">
      <c r="A80" s="81"/>
      <c r="B80" s="83"/>
      <c r="C80" s="247"/>
      <c r="D80" s="270"/>
      <c r="E80" s="150"/>
      <c r="F80" s="150"/>
      <c r="G80" s="150"/>
      <c r="H80" s="150"/>
      <c r="I80" s="150"/>
      <c r="J80" s="150"/>
      <c r="K80" s="150"/>
      <c r="L80" s="150"/>
    </row>
    <row r="81" spans="1:12">
      <c r="A81" s="159" t="s">
        <v>0</v>
      </c>
      <c r="B81" s="342"/>
      <c r="C81" s="320"/>
      <c r="D81" s="321"/>
      <c r="E81" s="320">
        <f>SUM(E79:E80)</f>
        <v>0</v>
      </c>
      <c r="F81" s="320">
        <f t="shared" ref="F81:L81" si="50">SUM(F79:F80)</f>
        <v>0</v>
      </c>
      <c r="G81" s="320">
        <f t="shared" si="50"/>
        <v>10</v>
      </c>
      <c r="H81" s="320">
        <f t="shared" si="50"/>
        <v>12</v>
      </c>
      <c r="I81" s="320">
        <f t="shared" si="50"/>
        <v>1</v>
      </c>
      <c r="J81" s="320">
        <f t="shared" si="50"/>
        <v>7</v>
      </c>
      <c r="K81" s="320">
        <f t="shared" si="50"/>
        <v>14</v>
      </c>
      <c r="L81" s="320">
        <f t="shared" si="50"/>
        <v>29</v>
      </c>
    </row>
    <row r="82" spans="1:12">
      <c r="B82" s="78"/>
    </row>
    <row r="83" spans="1:12">
      <c r="A83" s="62" t="s">
        <v>277</v>
      </c>
    </row>
    <row r="84" spans="1:12">
      <c r="A84" s="170" t="s">
        <v>278</v>
      </c>
      <c r="B84" s="298">
        <f>MAX(E65:L65)+MAX(E66:L66)</f>
        <v>132.11666666666667</v>
      </c>
    </row>
    <row r="85" spans="1:12">
      <c r="A85" s="170" t="s">
        <v>349</v>
      </c>
      <c r="B85" s="298">
        <f>MAX(E65:L65)</f>
        <v>57.716666666666683</v>
      </c>
    </row>
    <row r="86" spans="1:12">
      <c r="A86" s="170" t="s">
        <v>350</v>
      </c>
      <c r="B86" s="298">
        <f>MAX(E66:L66)</f>
        <v>74.400000000000006</v>
      </c>
    </row>
    <row r="87" spans="1:12">
      <c r="A87" s="170" t="s">
        <v>351</v>
      </c>
      <c r="B87" s="299">
        <v>7</v>
      </c>
    </row>
    <row r="88" spans="1:12">
      <c r="A88" s="170" t="s">
        <v>352</v>
      </c>
      <c r="B88" s="299">
        <f>B87/2</f>
        <v>3.5</v>
      </c>
    </row>
    <row r="89" spans="1:12" ht="13.5" customHeight="1">
      <c r="A89" s="170" t="s">
        <v>353</v>
      </c>
      <c r="B89" s="253">
        <v>40</v>
      </c>
    </row>
    <row r="90" spans="1:12" ht="13.5" customHeight="1">
      <c r="A90" s="170" t="s">
        <v>354</v>
      </c>
      <c r="B90" s="253">
        <v>30</v>
      </c>
    </row>
    <row r="91" spans="1:12" ht="13.5" customHeight="1">
      <c r="A91" s="170" t="s">
        <v>355</v>
      </c>
      <c r="B91" s="253">
        <v>30</v>
      </c>
    </row>
    <row r="92" spans="1:12" ht="12.75" customHeight="1">
      <c r="A92" s="170" t="s">
        <v>298</v>
      </c>
      <c r="B92" s="298">
        <f>B85*B87+B86*B88+B89+B90+B91</f>
        <v>764.41666666666674</v>
      </c>
    </row>
  </sheetData>
  <pageMargins left="0.70866141732283472" right="0.70866141732283472" top="0.70866141732283472" bottom="0.39370078740157483" header="0.31496062992125984" footer="0.31496062992125984"/>
  <pageSetup paperSize="9" orientation="landscape" r:id="rId1"/>
  <picture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000"/>
  </sheetPr>
  <dimension ref="A1:M36"/>
  <sheetViews>
    <sheetView showGridLines="0" zoomScaleNormal="100" workbookViewId="0">
      <pane xSplit="1" ySplit="4" topLeftCell="B6" activePane="bottomRight" state="frozen"/>
      <selection activeCell="A34" sqref="A34"/>
      <selection pane="topRight" activeCell="A34" sqref="A34"/>
      <selection pane="bottomLeft" activeCell="A34" sqref="A34"/>
      <selection pane="bottomRight" activeCell="K6" sqref="K6:K29"/>
    </sheetView>
  </sheetViews>
  <sheetFormatPr defaultRowHeight="12.75"/>
  <cols>
    <col min="1" max="1" width="5.5703125" style="78" customWidth="1"/>
    <col min="2" max="2" width="33.42578125" style="78" customWidth="1"/>
    <col min="3" max="3" width="10" style="78" customWidth="1"/>
    <col min="4" max="4" width="11.5703125" style="78" customWidth="1"/>
    <col min="5" max="5" width="12.7109375" style="78" customWidth="1"/>
    <col min="6" max="9" width="11.5703125" style="78" customWidth="1"/>
    <col min="10" max="10" width="10.140625" style="78" customWidth="1"/>
    <col min="11" max="11" width="12" style="78" customWidth="1"/>
    <col min="12" max="12" width="4.85546875" style="78" customWidth="1"/>
    <col min="13" max="16384" width="9.140625" style="78"/>
  </cols>
  <sheetData>
    <row r="1" spans="1:13" ht="5.25" customHeight="1"/>
    <row r="2" spans="1:13" ht="16.5" customHeight="1">
      <c r="A2" s="62" t="s">
        <v>164</v>
      </c>
      <c r="D2" s="169"/>
      <c r="E2" s="169"/>
      <c r="F2" s="169"/>
      <c r="G2" s="169"/>
      <c r="H2" s="169"/>
      <c r="I2" s="169"/>
      <c r="J2" s="169"/>
      <c r="K2" s="151" t="str">
        <f>Исх!C9</f>
        <v>тыс.тг.</v>
      </c>
    </row>
    <row r="3" spans="1:13" ht="8.25" customHeight="1">
      <c r="A3" s="152"/>
      <c r="B3" s="152"/>
      <c r="C3" s="152"/>
      <c r="D3" s="152"/>
      <c r="E3" s="152"/>
      <c r="F3" s="152"/>
      <c r="G3" s="152"/>
      <c r="H3" s="152"/>
      <c r="I3" s="152"/>
      <c r="J3" s="152"/>
      <c r="K3" s="152"/>
    </row>
    <row r="4" spans="1:13" ht="42.6" customHeight="1">
      <c r="A4" s="153" t="s">
        <v>40</v>
      </c>
      <c r="B4" s="154" t="s">
        <v>41</v>
      </c>
      <c r="C4" s="231" t="s">
        <v>42</v>
      </c>
      <c r="D4" s="155" t="s">
        <v>103</v>
      </c>
      <c r="E4" s="155" t="s">
        <v>104</v>
      </c>
      <c r="F4" s="155" t="s">
        <v>52</v>
      </c>
      <c r="G4" s="155" t="s">
        <v>53</v>
      </c>
      <c r="H4" s="155" t="s">
        <v>54</v>
      </c>
      <c r="I4" s="155" t="s">
        <v>55</v>
      </c>
      <c r="J4" s="155" t="s">
        <v>56</v>
      </c>
      <c r="K4" s="155" t="s">
        <v>49</v>
      </c>
      <c r="M4" s="330">
        <f>'1-Ф3'!B2</f>
        <v>0</v>
      </c>
    </row>
    <row r="5" spans="1:13" s="62" customFormat="1">
      <c r="A5" s="147"/>
      <c r="B5" s="156" t="s">
        <v>102</v>
      </c>
      <c r="C5" s="147"/>
      <c r="D5" s="147"/>
      <c r="E5" s="147"/>
      <c r="F5" s="147"/>
      <c r="G5" s="147"/>
      <c r="H5" s="147"/>
      <c r="I5" s="147"/>
      <c r="J5" s="147"/>
      <c r="K5" s="147"/>
    </row>
    <row r="6" spans="1:13">
      <c r="A6" s="81">
        <v>1</v>
      </c>
      <c r="B6" s="81" t="s">
        <v>129</v>
      </c>
      <c r="C6" s="81">
        <v>1</v>
      </c>
      <c r="D6" s="149">
        <v>100</v>
      </c>
      <c r="E6" s="157">
        <f>C6*D6</f>
        <v>100</v>
      </c>
      <c r="F6" s="157">
        <f>E6*$C$31</f>
        <v>10</v>
      </c>
      <c r="G6" s="157">
        <f>(E6-$C$35-F6)*$C$33</f>
        <v>7.400100000000001</v>
      </c>
      <c r="H6" s="157">
        <f>(E6-F6)*$C$32</f>
        <v>4.5</v>
      </c>
      <c r="I6" s="157">
        <f>((E6-F6)*$C$34-H6)*0.3</f>
        <v>1.62</v>
      </c>
      <c r="J6" s="157">
        <f>E6-F6-G6</f>
        <v>82.599900000000005</v>
      </c>
      <c r="K6" s="158">
        <f>SUM(F6:J6)</f>
        <v>106.12</v>
      </c>
    </row>
    <row r="7" spans="1:13">
      <c r="A7" s="81">
        <v>2</v>
      </c>
      <c r="B7" s="81" t="s">
        <v>232</v>
      </c>
      <c r="C7" s="81">
        <v>1</v>
      </c>
      <c r="D7" s="149">
        <v>40</v>
      </c>
      <c r="E7" s="157">
        <f>C7*D7</f>
        <v>40</v>
      </c>
      <c r="F7" s="157">
        <f>E7*$C$31</f>
        <v>4</v>
      </c>
      <c r="G7" s="157">
        <f>(E7-$C$35-F7)*$C$33</f>
        <v>2.0000999999999998</v>
      </c>
      <c r="H7" s="157">
        <f>(E7-F7)*$C$32</f>
        <v>1.8</v>
      </c>
      <c r="I7" s="157">
        <f>((E7-F7)*$C$34-H7)*0.3</f>
        <v>0.64800000000000002</v>
      </c>
      <c r="J7" s="157">
        <f>E7-F7-G7</f>
        <v>33.999899999999997</v>
      </c>
      <c r="K7" s="158">
        <f>SUM(F7:J7)</f>
        <v>42.447999999999993</v>
      </c>
    </row>
    <row r="8" spans="1:13">
      <c r="A8" s="81">
        <v>3</v>
      </c>
      <c r="B8" s="81" t="s">
        <v>304</v>
      </c>
      <c r="C8" s="81">
        <v>1</v>
      </c>
      <c r="D8" s="149">
        <v>60</v>
      </c>
      <c r="E8" s="157">
        <f>C8*D8</f>
        <v>60</v>
      </c>
      <c r="F8" s="157">
        <f>E8*$C$31</f>
        <v>6</v>
      </c>
      <c r="G8" s="157">
        <f>(E8-$C$35-F8)*$C$33</f>
        <v>3.8001</v>
      </c>
      <c r="H8" s="157">
        <f>(E8-F8)*$C$32</f>
        <v>2.7</v>
      </c>
      <c r="I8" s="157">
        <f>((E8-F8)*$C$34-H8)*0.3</f>
        <v>0.97199999999999998</v>
      </c>
      <c r="J8" s="157">
        <f>E8-F8-G8</f>
        <v>50.1999</v>
      </c>
      <c r="K8" s="158">
        <f>SUM(F8:J8)</f>
        <v>63.671999999999997</v>
      </c>
    </row>
    <row r="9" spans="1:13">
      <c r="A9" s="81">
        <v>4</v>
      </c>
      <c r="B9" s="81" t="s">
        <v>233</v>
      </c>
      <c r="C9" s="81">
        <v>1</v>
      </c>
      <c r="D9" s="149">
        <v>50</v>
      </c>
      <c r="E9" s="157">
        <f>C9*D9</f>
        <v>50</v>
      </c>
      <c r="F9" s="157">
        <f>E9*$C$31</f>
        <v>5</v>
      </c>
      <c r="G9" s="157">
        <f>(E9-$C$35-F9)*$C$33</f>
        <v>2.9001000000000001</v>
      </c>
      <c r="H9" s="157">
        <f>(E9-F9)*$C$32</f>
        <v>2.25</v>
      </c>
      <c r="I9" s="157">
        <f>((E9-F9)*$C$34-H9)*0.3</f>
        <v>0.81</v>
      </c>
      <c r="J9" s="157">
        <f>E9-F9-G9</f>
        <v>42.099899999999998</v>
      </c>
      <c r="K9" s="158">
        <f>SUM(F9:J9)</f>
        <v>53.06</v>
      </c>
    </row>
    <row r="10" spans="1:13" s="62" customFormat="1">
      <c r="A10" s="159"/>
      <c r="B10" s="159" t="s">
        <v>0</v>
      </c>
      <c r="C10" s="31">
        <f t="shared" ref="C10:K10" si="0">SUM(C6:C9)</f>
        <v>4</v>
      </c>
      <c r="D10" s="31">
        <f t="shared" si="0"/>
        <v>250</v>
      </c>
      <c r="E10" s="31">
        <f t="shared" si="0"/>
        <v>250</v>
      </c>
      <c r="F10" s="31">
        <f t="shared" si="0"/>
        <v>25</v>
      </c>
      <c r="G10" s="31">
        <f t="shared" si="0"/>
        <v>16.1004</v>
      </c>
      <c r="H10" s="31">
        <f t="shared" si="0"/>
        <v>11.25</v>
      </c>
      <c r="I10" s="31">
        <f t="shared" si="0"/>
        <v>4.0500000000000007</v>
      </c>
      <c r="J10" s="31">
        <f t="shared" si="0"/>
        <v>208.89959999999999</v>
      </c>
      <c r="K10" s="31">
        <f t="shared" si="0"/>
        <v>265.29999999999995</v>
      </c>
    </row>
    <row r="11" spans="1:13" s="62" customFormat="1">
      <c r="A11" s="147"/>
      <c r="B11" s="147" t="s">
        <v>110</v>
      </c>
      <c r="C11" s="147"/>
      <c r="D11" s="148"/>
      <c r="E11" s="148"/>
      <c r="F11" s="148"/>
      <c r="G11" s="148"/>
      <c r="H11" s="148"/>
      <c r="I11" s="148"/>
      <c r="J11" s="148"/>
      <c r="K11" s="148"/>
      <c r="M11" s="329" t="s">
        <v>319</v>
      </c>
    </row>
    <row r="12" spans="1:13">
      <c r="A12" s="81">
        <v>1</v>
      </c>
      <c r="B12" s="81" t="s">
        <v>305</v>
      </c>
      <c r="C12" s="157">
        <v>1</v>
      </c>
      <c r="D12" s="149">
        <v>45</v>
      </c>
      <c r="E12" s="157">
        <f t="shared" ref="E12:E16" si="1">C12*D12</f>
        <v>45</v>
      </c>
      <c r="F12" s="157">
        <f t="shared" ref="F12:F16" si="2">E12*$C$31</f>
        <v>4.5</v>
      </c>
      <c r="G12" s="157">
        <f t="shared" ref="G12:G16" si="3">(E12-$C$35-F12)*$C$33</f>
        <v>2.4500999999999999</v>
      </c>
      <c r="H12" s="157">
        <f t="shared" ref="H12:H16" si="4">(E12-F12)*$C$32</f>
        <v>2.0249999999999999</v>
      </c>
      <c r="I12" s="157">
        <f t="shared" ref="I12:I16" si="5">((E12-F12)*$C$34-H12)*0.3</f>
        <v>0.72899999999999998</v>
      </c>
      <c r="J12" s="157">
        <f t="shared" ref="J12:J16" si="6">E12-F12-G12</f>
        <v>38.049900000000001</v>
      </c>
      <c r="K12" s="158">
        <f t="shared" ref="K12:K16" si="7">SUM(F12:J12)</f>
        <v>47.753999999999998</v>
      </c>
    </row>
    <row r="13" spans="1:13">
      <c r="A13" s="81">
        <v>2</v>
      </c>
      <c r="B13" s="81" t="s">
        <v>306</v>
      </c>
      <c r="C13" s="157">
        <v>5</v>
      </c>
      <c r="D13" s="149">
        <v>38</v>
      </c>
      <c r="E13" s="157">
        <f t="shared" si="1"/>
        <v>190</v>
      </c>
      <c r="F13" s="157">
        <f t="shared" si="2"/>
        <v>19</v>
      </c>
      <c r="G13" s="157">
        <f t="shared" si="3"/>
        <v>15.500100000000002</v>
      </c>
      <c r="H13" s="157">
        <f t="shared" si="4"/>
        <v>8.5500000000000007</v>
      </c>
      <c r="I13" s="157">
        <f t="shared" si="5"/>
        <v>3.0779999999999994</v>
      </c>
      <c r="J13" s="157">
        <f t="shared" si="6"/>
        <v>155.4999</v>
      </c>
      <c r="K13" s="158">
        <f t="shared" si="7"/>
        <v>201.62799999999999</v>
      </c>
    </row>
    <row r="14" spans="1:13">
      <c r="A14" s="81">
        <v>3</v>
      </c>
      <c r="B14" s="81" t="s">
        <v>235</v>
      </c>
      <c r="C14" s="157">
        <v>1</v>
      </c>
      <c r="D14" s="149">
        <v>30</v>
      </c>
      <c r="E14" s="157">
        <f t="shared" ref="E14" si="8">C14*D14</f>
        <v>30</v>
      </c>
      <c r="F14" s="157">
        <f t="shared" si="2"/>
        <v>3</v>
      </c>
      <c r="G14" s="157">
        <f t="shared" si="3"/>
        <v>1.1001000000000001</v>
      </c>
      <c r="H14" s="157">
        <f t="shared" si="4"/>
        <v>1.35</v>
      </c>
      <c r="I14" s="157">
        <f t="shared" si="5"/>
        <v>0.48599999999999999</v>
      </c>
      <c r="J14" s="157">
        <f t="shared" ref="J14" si="9">E14-F14-G14</f>
        <v>25.899899999999999</v>
      </c>
      <c r="K14" s="158">
        <f t="shared" ref="K14" si="10">SUM(F14:J14)</f>
        <v>31.835999999999999</v>
      </c>
    </row>
    <row r="15" spans="1:13">
      <c r="A15" s="81">
        <v>4</v>
      </c>
      <c r="B15" s="81" t="s">
        <v>369</v>
      </c>
      <c r="C15" s="157">
        <v>2</v>
      </c>
      <c r="D15" s="149">
        <v>38</v>
      </c>
      <c r="E15" s="157">
        <f t="shared" si="1"/>
        <v>76</v>
      </c>
      <c r="F15" s="157">
        <f t="shared" si="2"/>
        <v>7.6000000000000005</v>
      </c>
      <c r="G15" s="157">
        <f t="shared" si="3"/>
        <v>5.2401</v>
      </c>
      <c r="H15" s="157">
        <f t="shared" si="4"/>
        <v>3.4200000000000004</v>
      </c>
      <c r="I15" s="157">
        <f t="shared" si="5"/>
        <v>1.2312000000000003</v>
      </c>
      <c r="J15" s="157">
        <f t="shared" si="6"/>
        <v>63.159900000000007</v>
      </c>
      <c r="K15" s="158">
        <f t="shared" si="7"/>
        <v>80.651200000000017</v>
      </c>
    </row>
    <row r="16" spans="1:13">
      <c r="A16" s="81">
        <v>5</v>
      </c>
      <c r="B16" s="81" t="s">
        <v>307</v>
      </c>
      <c r="C16" s="157">
        <v>1</v>
      </c>
      <c r="D16" s="149">
        <v>40</v>
      </c>
      <c r="E16" s="157">
        <f t="shared" si="1"/>
        <v>40</v>
      </c>
      <c r="F16" s="157">
        <f t="shared" si="2"/>
        <v>4</v>
      </c>
      <c r="G16" s="157">
        <f t="shared" si="3"/>
        <v>2.0000999999999998</v>
      </c>
      <c r="H16" s="157">
        <f t="shared" si="4"/>
        <v>1.8</v>
      </c>
      <c r="I16" s="157">
        <f t="shared" si="5"/>
        <v>0.64800000000000002</v>
      </c>
      <c r="J16" s="157">
        <f t="shared" si="6"/>
        <v>33.999899999999997</v>
      </c>
      <c r="K16" s="158">
        <f t="shared" si="7"/>
        <v>42.447999999999993</v>
      </c>
    </row>
    <row r="17" spans="1:13" s="62" customFormat="1">
      <c r="A17" s="159"/>
      <c r="B17" s="160" t="s">
        <v>0</v>
      </c>
      <c r="C17" s="159">
        <f t="shared" ref="C17:K17" si="11">SUM(C11:C16)</f>
        <v>10</v>
      </c>
      <c r="D17" s="158">
        <f t="shared" si="11"/>
        <v>191</v>
      </c>
      <c r="E17" s="158">
        <f t="shared" si="11"/>
        <v>381</v>
      </c>
      <c r="F17" s="158">
        <f t="shared" si="11"/>
        <v>38.1</v>
      </c>
      <c r="G17" s="158">
        <f t="shared" si="11"/>
        <v>26.290500000000005</v>
      </c>
      <c r="H17" s="158">
        <f t="shared" si="11"/>
        <v>17.145</v>
      </c>
      <c r="I17" s="158">
        <f t="shared" si="11"/>
        <v>6.1721999999999992</v>
      </c>
      <c r="J17" s="158">
        <f t="shared" si="11"/>
        <v>316.60950000000003</v>
      </c>
      <c r="K17" s="158">
        <f t="shared" si="11"/>
        <v>404.31719999999996</v>
      </c>
    </row>
    <row r="18" spans="1:13" s="62" customFormat="1">
      <c r="A18" s="147"/>
      <c r="B18" s="147" t="s">
        <v>111</v>
      </c>
      <c r="C18" s="147"/>
      <c r="D18" s="148"/>
      <c r="E18" s="148"/>
      <c r="F18" s="148"/>
      <c r="G18" s="148"/>
      <c r="H18" s="148"/>
      <c r="I18" s="148"/>
      <c r="J18" s="148"/>
      <c r="K18" s="148"/>
    </row>
    <row r="19" spans="1:13">
      <c r="A19" s="81">
        <v>1</v>
      </c>
      <c r="B19" s="81" t="s">
        <v>221</v>
      </c>
      <c r="C19" s="81">
        <v>3</v>
      </c>
      <c r="D19" s="149">
        <v>45</v>
      </c>
      <c r="E19" s="157">
        <f>C19*D19</f>
        <v>135</v>
      </c>
      <c r="F19" s="157">
        <f>E19*$C$31</f>
        <v>13.5</v>
      </c>
      <c r="G19" s="157">
        <f>(E19-$C$35-F19)*$C$33</f>
        <v>10.5501</v>
      </c>
      <c r="H19" s="157">
        <f>(E19-F19)*$C$32</f>
        <v>6.0750000000000002</v>
      </c>
      <c r="I19" s="157">
        <f t="shared" ref="I19:I20" si="12">((E19-F19)*$C$34-H19)*0.3</f>
        <v>2.1869999999999998</v>
      </c>
      <c r="J19" s="157">
        <f>E19-F19-G19</f>
        <v>110.9499</v>
      </c>
      <c r="K19" s="158">
        <f>SUM(F19:J19)</f>
        <v>143.262</v>
      </c>
    </row>
    <row r="20" spans="1:13">
      <c r="A20" s="81">
        <v>2</v>
      </c>
      <c r="B20" s="81" t="s">
        <v>234</v>
      </c>
      <c r="C20" s="157">
        <v>1</v>
      </c>
      <c r="D20" s="149">
        <v>25</v>
      </c>
      <c r="E20" s="157">
        <f>C20*D20</f>
        <v>25</v>
      </c>
      <c r="F20" s="157">
        <f>E20*$C$31</f>
        <v>2.5</v>
      </c>
      <c r="G20" s="157">
        <f>(E20-$C$35-F20)*$C$33</f>
        <v>0.65010000000000001</v>
      </c>
      <c r="H20" s="157">
        <f>(E20-F20)*$C$32</f>
        <v>1.125</v>
      </c>
      <c r="I20" s="157">
        <f t="shared" si="12"/>
        <v>0.40500000000000003</v>
      </c>
      <c r="J20" s="157">
        <f>E20-F20-G20</f>
        <v>21.849900000000002</v>
      </c>
      <c r="K20" s="158">
        <f>SUM(F20:J20)</f>
        <v>26.53</v>
      </c>
    </row>
    <row r="21" spans="1:13" s="62" customFormat="1">
      <c r="A21" s="159"/>
      <c r="B21" s="160" t="s">
        <v>0</v>
      </c>
      <c r="C21" s="159">
        <f t="shared" ref="C21:K21" si="13">SUM(C19:C20)</f>
        <v>4</v>
      </c>
      <c r="D21" s="158">
        <f t="shared" si="13"/>
        <v>70</v>
      </c>
      <c r="E21" s="158">
        <f t="shared" si="13"/>
        <v>160</v>
      </c>
      <c r="F21" s="158">
        <f t="shared" si="13"/>
        <v>16</v>
      </c>
      <c r="G21" s="158">
        <f t="shared" si="13"/>
        <v>11.200200000000001</v>
      </c>
      <c r="H21" s="158">
        <f t="shared" si="13"/>
        <v>7.2</v>
      </c>
      <c r="I21" s="158">
        <f t="shared" si="13"/>
        <v>2.5919999999999996</v>
      </c>
      <c r="J21" s="158">
        <f t="shared" si="13"/>
        <v>132.7998</v>
      </c>
      <c r="K21" s="158">
        <f t="shared" si="13"/>
        <v>169.792</v>
      </c>
    </row>
    <row r="22" spans="1:13" s="62" customFormat="1">
      <c r="A22" s="147"/>
      <c r="B22" s="147" t="s">
        <v>121</v>
      </c>
      <c r="C22" s="147"/>
      <c r="D22" s="148"/>
      <c r="E22" s="148"/>
      <c r="F22" s="148"/>
      <c r="G22" s="148"/>
      <c r="H22" s="148"/>
      <c r="I22" s="148"/>
      <c r="J22" s="148"/>
      <c r="K22" s="148"/>
    </row>
    <row r="23" spans="1:13">
      <c r="A23" s="81">
        <v>1</v>
      </c>
      <c r="B23" s="81" t="s">
        <v>130</v>
      </c>
      <c r="C23" s="81">
        <v>3</v>
      </c>
      <c r="D23" s="149">
        <v>20</v>
      </c>
      <c r="E23" s="157">
        <f>C23*D23</f>
        <v>60</v>
      </c>
      <c r="F23" s="157">
        <f>E23*$C$31</f>
        <v>6</v>
      </c>
      <c r="G23" s="157">
        <f>(E23-$C$35-F23)*$C$33</f>
        <v>3.8001</v>
      </c>
      <c r="H23" s="157">
        <f>(E23-F23)*$C$32</f>
        <v>2.7</v>
      </c>
      <c r="I23" s="157">
        <f t="shared" ref="I23:I26" si="14">((E23-F23)*$C$34-H23)*0.3</f>
        <v>0.97199999999999998</v>
      </c>
      <c r="J23" s="157">
        <f>E23-F23-G23</f>
        <v>50.1999</v>
      </c>
      <c r="K23" s="158">
        <f>SUM(F23:J23)</f>
        <v>63.671999999999997</v>
      </c>
      <c r="M23" s="161"/>
    </row>
    <row r="24" spans="1:13">
      <c r="A24" s="81">
        <v>2</v>
      </c>
      <c r="B24" s="81" t="s">
        <v>236</v>
      </c>
      <c r="C24" s="174">
        <v>0.5</v>
      </c>
      <c r="D24" s="149">
        <v>30</v>
      </c>
      <c r="E24" s="157">
        <f>C24*D24</f>
        <v>15</v>
      </c>
      <c r="F24" s="157">
        <f>E24*$C$31</f>
        <v>1.5</v>
      </c>
      <c r="G24" s="157">
        <f>(E24-$C$35-F24)*$C$33</f>
        <v>-0.24990000000000007</v>
      </c>
      <c r="H24" s="157">
        <f>(E24-F24)*$C$32</f>
        <v>0.67500000000000004</v>
      </c>
      <c r="I24" s="157">
        <f t="shared" si="14"/>
        <v>0.24299999999999999</v>
      </c>
      <c r="J24" s="157">
        <f>E24-F24-G24</f>
        <v>13.7499</v>
      </c>
      <c r="K24" s="158">
        <f>SUM(F24:J24)</f>
        <v>15.917999999999999</v>
      </c>
    </row>
    <row r="25" spans="1:13">
      <c r="A25" s="81">
        <v>3</v>
      </c>
      <c r="B25" s="81" t="s">
        <v>237</v>
      </c>
      <c r="C25" s="174">
        <v>0.5</v>
      </c>
      <c r="D25" s="149">
        <v>35</v>
      </c>
      <c r="E25" s="157">
        <f>C25*D25</f>
        <v>17.5</v>
      </c>
      <c r="F25" s="157">
        <f>E25*$C$31</f>
        <v>1.75</v>
      </c>
      <c r="G25" s="157">
        <f>(E25-$C$35-F25)*$C$33</f>
        <v>-2.4900000000000058E-2</v>
      </c>
      <c r="H25" s="157">
        <f>(E25-F25)*$C$32</f>
        <v>0.78750000000000009</v>
      </c>
      <c r="I25" s="157">
        <f t="shared" si="14"/>
        <v>0.28349999999999992</v>
      </c>
      <c r="J25" s="157">
        <f>E25-F25-G25</f>
        <v>15.774900000000001</v>
      </c>
      <c r="K25" s="158">
        <f>SUM(F25:J25)</f>
        <v>18.571000000000002</v>
      </c>
    </row>
    <row r="26" spans="1:13">
      <c r="A26" s="81">
        <v>4</v>
      </c>
      <c r="B26" s="81" t="s">
        <v>131</v>
      </c>
      <c r="C26" s="81">
        <v>1</v>
      </c>
      <c r="D26" s="149">
        <v>25</v>
      </c>
      <c r="E26" s="157">
        <f>C26*D26</f>
        <v>25</v>
      </c>
      <c r="F26" s="157">
        <f>E26*$C$31</f>
        <v>2.5</v>
      </c>
      <c r="G26" s="157">
        <f>(E26-$C$35-F26)*$C$33</f>
        <v>0.65010000000000001</v>
      </c>
      <c r="H26" s="157">
        <f>(E26-F26)*$C$32</f>
        <v>1.125</v>
      </c>
      <c r="I26" s="157">
        <f t="shared" si="14"/>
        <v>0.40500000000000003</v>
      </c>
      <c r="J26" s="157">
        <f>E26-F26-G26</f>
        <v>21.849900000000002</v>
      </c>
      <c r="K26" s="158">
        <f>SUM(F26:J26)</f>
        <v>26.53</v>
      </c>
    </row>
    <row r="27" spans="1:13" s="62" customFormat="1">
      <c r="A27" s="159"/>
      <c r="B27" s="160" t="s">
        <v>0</v>
      </c>
      <c r="C27" s="159">
        <f t="shared" ref="C27:K27" si="15">SUM(C23:C26)</f>
        <v>5</v>
      </c>
      <c r="D27" s="158">
        <f t="shared" si="15"/>
        <v>110</v>
      </c>
      <c r="E27" s="158">
        <f t="shared" si="15"/>
        <v>117.5</v>
      </c>
      <c r="F27" s="158">
        <f t="shared" si="15"/>
        <v>11.75</v>
      </c>
      <c r="G27" s="158">
        <f t="shared" si="15"/>
        <v>4.1753999999999998</v>
      </c>
      <c r="H27" s="158">
        <f t="shared" si="15"/>
        <v>5.2874999999999996</v>
      </c>
      <c r="I27" s="158">
        <f t="shared" si="15"/>
        <v>1.9034999999999997</v>
      </c>
      <c r="J27" s="158">
        <f t="shared" si="15"/>
        <v>101.5746</v>
      </c>
      <c r="K27" s="158">
        <f t="shared" si="15"/>
        <v>124.691</v>
      </c>
    </row>
    <row r="28" spans="1:13" hidden="1">
      <c r="A28" s="81"/>
      <c r="B28" s="81"/>
      <c r="C28" s="81"/>
      <c r="D28" s="157"/>
      <c r="E28" s="157"/>
      <c r="F28" s="157"/>
      <c r="G28" s="157"/>
      <c r="H28" s="157"/>
      <c r="I28" s="157"/>
      <c r="J28" s="157"/>
      <c r="K28" s="157"/>
    </row>
    <row r="29" spans="1:13" s="62" customFormat="1">
      <c r="A29" s="159"/>
      <c r="B29" s="159" t="s">
        <v>122</v>
      </c>
      <c r="C29" s="158">
        <f t="shared" ref="C29:K29" si="16">C10+C17+C21+C27</f>
        <v>23</v>
      </c>
      <c r="D29" s="158">
        <f t="shared" si="16"/>
        <v>621</v>
      </c>
      <c r="E29" s="158">
        <f t="shared" si="16"/>
        <v>908.5</v>
      </c>
      <c r="F29" s="158">
        <f t="shared" si="16"/>
        <v>90.85</v>
      </c>
      <c r="G29" s="158">
        <f t="shared" si="16"/>
        <v>57.766500000000008</v>
      </c>
      <c r="H29" s="158">
        <f t="shared" si="16"/>
        <v>40.8825</v>
      </c>
      <c r="I29" s="158">
        <f t="shared" si="16"/>
        <v>14.717699999999999</v>
      </c>
      <c r="J29" s="158">
        <f t="shared" si="16"/>
        <v>759.88350000000003</v>
      </c>
      <c r="K29" s="162">
        <f t="shared" si="16"/>
        <v>964.10019999999997</v>
      </c>
    </row>
    <row r="31" spans="1:13">
      <c r="B31" s="81" t="s">
        <v>52</v>
      </c>
      <c r="C31" s="163">
        <f>Исх!C11</f>
        <v>0.1</v>
      </c>
      <c r="D31" s="164"/>
      <c r="E31" s="164"/>
      <c r="F31" s="164"/>
      <c r="G31" s="366"/>
      <c r="H31" s="366"/>
      <c r="I31" s="366"/>
      <c r="J31" s="366"/>
    </row>
    <row r="32" spans="1:13">
      <c r="B32" s="81" t="s">
        <v>57</v>
      </c>
      <c r="C32" s="163">
        <f>Исх!C12</f>
        <v>0.05</v>
      </c>
      <c r="D32" s="164"/>
      <c r="E32" s="164"/>
      <c r="F32" s="164"/>
      <c r="G32" s="164"/>
      <c r="H32" s="164"/>
      <c r="I32" s="165"/>
      <c r="J32" s="166"/>
    </row>
    <row r="33" spans="2:10">
      <c r="B33" s="81" t="s">
        <v>53</v>
      </c>
      <c r="C33" s="163">
        <f>Исх!C13</f>
        <v>0.1</v>
      </c>
      <c r="D33" s="164"/>
      <c r="E33" s="164"/>
      <c r="F33" s="164"/>
      <c r="G33" s="164"/>
      <c r="H33" s="164"/>
      <c r="I33" s="165"/>
      <c r="J33" s="166"/>
    </row>
    <row r="34" spans="2:10">
      <c r="B34" s="81" t="s">
        <v>55</v>
      </c>
      <c r="C34" s="163">
        <f>Исх!C14</f>
        <v>0.11</v>
      </c>
      <c r="D34" s="167"/>
      <c r="E34" s="167"/>
      <c r="F34" s="164"/>
      <c r="G34" s="164"/>
      <c r="H34" s="164"/>
      <c r="I34" s="165"/>
      <c r="J34" s="166"/>
    </row>
    <row r="35" spans="2:10">
      <c r="B35" s="81" t="s">
        <v>128</v>
      </c>
      <c r="C35" s="168">
        <f>Исх!C15</f>
        <v>15.999000000000001</v>
      </c>
    </row>
    <row r="36" spans="2:10">
      <c r="G36" s="164"/>
      <c r="H36" s="164"/>
      <c r="I36" s="165"/>
      <c r="J36" s="166"/>
    </row>
  </sheetData>
  <mergeCells count="1">
    <mergeCell ref="G31:J31"/>
  </mergeCells>
  <pageMargins left="0.27559055118110237" right="0.27559055118110237" top="0.35433070866141736" bottom="0.35433070866141736" header="0.23622047244094491" footer="0.27559055118110237"/>
  <pageSetup paperSize="9" orientation="landscape" r:id="rId1"/>
  <headerFooter alignWithMargins="0"/>
  <picture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1:K50"/>
  <sheetViews>
    <sheetView showGridLines="0" workbookViewId="0">
      <pane ySplit="5" topLeftCell="A6" activePane="bottomLeft" state="frozen"/>
      <selection activeCell="A34" sqref="A34"/>
      <selection pane="bottomLeft" activeCell="L15" sqref="L15"/>
    </sheetView>
  </sheetViews>
  <sheetFormatPr defaultColWidth="8.85546875" defaultRowHeight="12.75" outlineLevelRow="1"/>
  <cols>
    <col min="1" max="1" width="33.140625" style="78" customWidth="1"/>
    <col min="2" max="2" width="11.140625" style="78" customWidth="1"/>
    <col min="3" max="9" width="9" style="78" customWidth="1"/>
    <col min="10" max="10" width="8.85546875" style="78"/>
    <col min="11" max="11" width="9.7109375" style="78" customWidth="1"/>
    <col min="12" max="16384" width="8.85546875" style="78"/>
  </cols>
  <sheetData>
    <row r="1" spans="1:11">
      <c r="A1" s="62" t="s">
        <v>168</v>
      </c>
    </row>
    <row r="2" spans="1:11">
      <c r="A2" s="62"/>
    </row>
    <row r="3" spans="1:11">
      <c r="A3" s="62"/>
      <c r="B3" s="62"/>
      <c r="C3" s="62"/>
      <c r="D3" s="62"/>
      <c r="E3" s="62"/>
      <c r="F3" s="62"/>
      <c r="G3" s="62"/>
      <c r="H3" s="62"/>
      <c r="I3" s="62"/>
      <c r="J3" s="62"/>
      <c r="K3" s="62"/>
    </row>
    <row r="4" spans="1:11">
      <c r="A4" s="78" t="s">
        <v>47</v>
      </c>
      <c r="C4" s="144"/>
      <c r="D4" s="144"/>
      <c r="E4" s="144"/>
      <c r="F4" s="144"/>
      <c r="G4" s="144"/>
      <c r="H4" s="144"/>
      <c r="I4" s="151" t="str">
        <f>Исх!C9</f>
        <v>тыс.тг.</v>
      </c>
    </row>
    <row r="5" spans="1:11">
      <c r="A5" s="227" t="s">
        <v>48</v>
      </c>
      <c r="B5" s="250"/>
      <c r="C5" s="250">
        <v>2012</v>
      </c>
      <c r="D5" s="250">
        <v>2013</v>
      </c>
      <c r="E5" s="250">
        <f>D5+1</f>
        <v>2014</v>
      </c>
      <c r="F5" s="250">
        <f>E5+1</f>
        <v>2015</v>
      </c>
      <c r="G5" s="250">
        <f>F5+1</f>
        <v>2016</v>
      </c>
      <c r="H5" s="250">
        <f>G5+1</f>
        <v>2017</v>
      </c>
      <c r="I5" s="250">
        <f>H5+1</f>
        <v>2018</v>
      </c>
    </row>
    <row r="6" spans="1:11">
      <c r="A6" s="81" t="s">
        <v>49</v>
      </c>
      <c r="B6" s="150"/>
      <c r="C6" s="157">
        <f>ФОТ!K29-ФОТ!K17</f>
        <v>559.78300000000002</v>
      </c>
      <c r="D6" s="157">
        <f t="shared" ref="D6:I6" si="0">C6</f>
        <v>559.78300000000002</v>
      </c>
      <c r="E6" s="157">
        <f t="shared" si="0"/>
        <v>559.78300000000002</v>
      </c>
      <c r="F6" s="157">
        <f t="shared" si="0"/>
        <v>559.78300000000002</v>
      </c>
      <c r="G6" s="157">
        <f t="shared" si="0"/>
        <v>559.78300000000002</v>
      </c>
      <c r="H6" s="157">
        <f t="shared" si="0"/>
        <v>559.78300000000002</v>
      </c>
      <c r="I6" s="157">
        <f t="shared" si="0"/>
        <v>559.78300000000002</v>
      </c>
    </row>
    <row r="7" spans="1:11">
      <c r="A7" s="170" t="s">
        <v>308</v>
      </c>
      <c r="B7" s="247"/>
      <c r="C7" s="149">
        <v>20</v>
      </c>
      <c r="D7" s="157">
        <f>C7*1.1</f>
        <v>22</v>
      </c>
      <c r="E7" s="157">
        <f t="shared" ref="E7:I7" si="1">D7*1.1</f>
        <v>24.200000000000003</v>
      </c>
      <c r="F7" s="157">
        <f t="shared" si="1"/>
        <v>26.620000000000005</v>
      </c>
      <c r="G7" s="157">
        <f t="shared" si="1"/>
        <v>29.282000000000007</v>
      </c>
      <c r="H7" s="157">
        <f t="shared" si="1"/>
        <v>32.210200000000007</v>
      </c>
      <c r="I7" s="157">
        <f t="shared" si="1"/>
        <v>35.43122000000001</v>
      </c>
    </row>
    <row r="8" spans="1:11">
      <c r="A8" s="170" t="s">
        <v>123</v>
      </c>
      <c r="B8" s="150"/>
      <c r="C8" s="149">
        <v>4</v>
      </c>
      <c r="D8" s="157">
        <f t="shared" ref="D8:I14" si="2">C8+C8*$D$3</f>
        <v>4</v>
      </c>
      <c r="E8" s="157">
        <f t="shared" si="2"/>
        <v>4</v>
      </c>
      <c r="F8" s="157">
        <f t="shared" si="2"/>
        <v>4</v>
      </c>
      <c r="G8" s="157">
        <f t="shared" si="2"/>
        <v>4</v>
      </c>
      <c r="H8" s="157">
        <f t="shared" si="2"/>
        <v>4</v>
      </c>
      <c r="I8" s="157">
        <f t="shared" si="2"/>
        <v>4</v>
      </c>
    </row>
    <row r="9" spans="1:11">
      <c r="A9" s="81" t="s">
        <v>50</v>
      </c>
      <c r="B9" s="150"/>
      <c r="C9" s="149">
        <v>5</v>
      </c>
      <c r="D9" s="157">
        <f t="shared" si="2"/>
        <v>5</v>
      </c>
      <c r="E9" s="157">
        <f t="shared" si="2"/>
        <v>5</v>
      </c>
      <c r="F9" s="157">
        <f t="shared" si="2"/>
        <v>5</v>
      </c>
      <c r="G9" s="157">
        <f t="shared" si="2"/>
        <v>5</v>
      </c>
      <c r="H9" s="157">
        <f t="shared" si="2"/>
        <v>5</v>
      </c>
      <c r="I9" s="157">
        <f t="shared" si="2"/>
        <v>5</v>
      </c>
    </row>
    <row r="10" spans="1:11">
      <c r="A10" s="81" t="s">
        <v>224</v>
      </c>
      <c r="B10" s="247" t="s">
        <v>372</v>
      </c>
      <c r="C10" s="149">
        <f>3*15*26*110/1.12/1000</f>
        <v>114.91071428571428</v>
      </c>
      <c r="D10" s="157">
        <f t="shared" ref="D10:I10" si="3">C10+C10*$D$3</f>
        <v>114.91071428571428</v>
      </c>
      <c r="E10" s="157">
        <f t="shared" si="3"/>
        <v>114.91071428571428</v>
      </c>
      <c r="F10" s="157">
        <f t="shared" si="3"/>
        <v>114.91071428571428</v>
      </c>
      <c r="G10" s="157">
        <f t="shared" si="3"/>
        <v>114.91071428571428</v>
      </c>
      <c r="H10" s="157">
        <f t="shared" si="3"/>
        <v>114.91071428571428</v>
      </c>
      <c r="I10" s="157">
        <f t="shared" si="3"/>
        <v>114.91071428571428</v>
      </c>
      <c r="J10" s="78" t="s">
        <v>381</v>
      </c>
    </row>
    <row r="11" spans="1:11">
      <c r="A11" s="81" t="s">
        <v>112</v>
      </c>
      <c r="B11" s="150"/>
      <c r="C11" s="149">
        <v>5</v>
      </c>
      <c r="D11" s="157">
        <f t="shared" si="2"/>
        <v>5</v>
      </c>
      <c r="E11" s="157">
        <f t="shared" si="2"/>
        <v>5</v>
      </c>
      <c r="F11" s="157">
        <f t="shared" si="2"/>
        <v>5</v>
      </c>
      <c r="G11" s="157">
        <f t="shared" si="2"/>
        <v>5</v>
      </c>
      <c r="H11" s="157">
        <f t="shared" si="2"/>
        <v>5</v>
      </c>
      <c r="I11" s="157">
        <f t="shared" si="2"/>
        <v>5</v>
      </c>
    </row>
    <row r="12" spans="1:11">
      <c r="A12" s="81" t="s">
        <v>86</v>
      </c>
      <c r="B12" s="150"/>
      <c r="C12" s="149">
        <v>7</v>
      </c>
      <c r="D12" s="157">
        <f t="shared" si="2"/>
        <v>7</v>
      </c>
      <c r="E12" s="157">
        <f t="shared" si="2"/>
        <v>7</v>
      </c>
      <c r="F12" s="157">
        <f t="shared" si="2"/>
        <v>7</v>
      </c>
      <c r="G12" s="157">
        <f t="shared" si="2"/>
        <v>7</v>
      </c>
      <c r="H12" s="157">
        <f t="shared" si="2"/>
        <v>7</v>
      </c>
      <c r="I12" s="157">
        <f t="shared" si="2"/>
        <v>7</v>
      </c>
    </row>
    <row r="13" spans="1:11">
      <c r="A13" s="81" t="s">
        <v>113</v>
      </c>
      <c r="B13" s="150"/>
      <c r="C13" s="149">
        <v>5</v>
      </c>
      <c r="D13" s="157">
        <f t="shared" ref="D13:I13" si="4">C13+C13*$D$3</f>
        <v>5</v>
      </c>
      <c r="E13" s="157">
        <f t="shared" si="4"/>
        <v>5</v>
      </c>
      <c r="F13" s="157">
        <f t="shared" si="4"/>
        <v>5</v>
      </c>
      <c r="G13" s="157">
        <f t="shared" si="4"/>
        <v>5</v>
      </c>
      <c r="H13" s="157">
        <f t="shared" si="4"/>
        <v>5</v>
      </c>
      <c r="I13" s="157">
        <f t="shared" si="4"/>
        <v>5</v>
      </c>
    </row>
    <row r="14" spans="1:11">
      <c r="A14" s="81" t="s">
        <v>51</v>
      </c>
      <c r="B14" s="157"/>
      <c r="C14" s="149">
        <v>5</v>
      </c>
      <c r="D14" s="157">
        <f t="shared" si="2"/>
        <v>5</v>
      </c>
      <c r="E14" s="157">
        <f t="shared" si="2"/>
        <v>5</v>
      </c>
      <c r="F14" s="157">
        <f t="shared" si="2"/>
        <v>5</v>
      </c>
      <c r="G14" s="157">
        <f t="shared" si="2"/>
        <v>5</v>
      </c>
      <c r="H14" s="157">
        <f t="shared" si="2"/>
        <v>5</v>
      </c>
      <c r="I14" s="157">
        <f t="shared" si="2"/>
        <v>5</v>
      </c>
    </row>
    <row r="15" spans="1:11">
      <c r="A15" s="227" t="s">
        <v>0</v>
      </c>
      <c r="B15" s="228"/>
      <c r="C15" s="228">
        <f t="shared" ref="C15:I15" si="5">SUM(C6:C14)</f>
        <v>725.69371428571435</v>
      </c>
      <c r="D15" s="228">
        <f t="shared" si="5"/>
        <v>727.69371428571435</v>
      </c>
      <c r="E15" s="228">
        <f t="shared" si="5"/>
        <v>729.8937142857144</v>
      </c>
      <c r="F15" s="228">
        <f t="shared" si="5"/>
        <v>732.31371428571424</v>
      </c>
      <c r="G15" s="228">
        <f t="shared" si="5"/>
        <v>734.97571428571428</v>
      </c>
      <c r="H15" s="228">
        <f t="shared" si="5"/>
        <v>737.90391428571434</v>
      </c>
      <c r="I15" s="228">
        <f t="shared" si="5"/>
        <v>741.12493428571429</v>
      </c>
    </row>
    <row r="17" spans="1:10">
      <c r="A17" s="62" t="s">
        <v>87</v>
      </c>
      <c r="C17" s="172">
        <f t="shared" ref="C17:I17" si="6">SUM(C18:C18)</f>
        <v>1.679349</v>
      </c>
      <c r="D17" s="172">
        <f t="shared" si="6"/>
        <v>1.679349</v>
      </c>
      <c r="E17" s="172">
        <f t="shared" si="6"/>
        <v>1.679349</v>
      </c>
      <c r="F17" s="172">
        <f t="shared" si="6"/>
        <v>1.679349</v>
      </c>
      <c r="G17" s="172">
        <f t="shared" si="6"/>
        <v>1.679349</v>
      </c>
      <c r="H17" s="172">
        <f t="shared" si="6"/>
        <v>1.679349</v>
      </c>
      <c r="I17" s="172">
        <f t="shared" si="6"/>
        <v>1.679349</v>
      </c>
    </row>
    <row r="18" spans="1:10" ht="25.5">
      <c r="A18" s="170" t="s">
        <v>88</v>
      </c>
      <c r="B18" s="173">
        <v>3.0000000000000001E-3</v>
      </c>
      <c r="C18" s="174">
        <f t="shared" ref="C18:I18" si="7">C6*$B$18</f>
        <v>1.679349</v>
      </c>
      <c r="D18" s="174">
        <f t="shared" si="7"/>
        <v>1.679349</v>
      </c>
      <c r="E18" s="174">
        <f t="shared" si="7"/>
        <v>1.679349</v>
      </c>
      <c r="F18" s="174">
        <f t="shared" si="7"/>
        <v>1.679349</v>
      </c>
      <c r="G18" s="174">
        <f t="shared" si="7"/>
        <v>1.679349</v>
      </c>
      <c r="H18" s="174">
        <f t="shared" si="7"/>
        <v>1.679349</v>
      </c>
      <c r="I18" s="174">
        <f t="shared" si="7"/>
        <v>1.679349</v>
      </c>
    </row>
    <row r="20" spans="1:10">
      <c r="A20" s="62" t="s">
        <v>89</v>
      </c>
      <c r="C20" s="175">
        <f>SUM(C21:C22)</f>
        <v>7.2216480133928567</v>
      </c>
      <c r="D20" s="175">
        <f t="shared" ref="D20:I20" si="8">SUM(D21:D22)</f>
        <v>6.9869993973214282</v>
      </c>
      <c r="E20" s="175">
        <f t="shared" si="8"/>
        <v>6.7523507812499997</v>
      </c>
      <c r="F20" s="175">
        <f t="shared" si="8"/>
        <v>6.5177021651785711</v>
      </c>
      <c r="G20" s="175">
        <f t="shared" si="8"/>
        <v>6.2830535491071426</v>
      </c>
      <c r="H20" s="175">
        <f t="shared" si="8"/>
        <v>6.0484049330357141</v>
      </c>
      <c r="I20" s="175">
        <f t="shared" si="8"/>
        <v>5.8137563169642856</v>
      </c>
    </row>
    <row r="21" spans="1:10">
      <c r="A21" s="81" t="s">
        <v>2</v>
      </c>
      <c r="B21" s="176">
        <f>Исх!C16</f>
        <v>4.4999999999999997E-3</v>
      </c>
      <c r="C21" s="157">
        <f>(C34+C37)/2*$B$21/12</f>
        <v>4.5756480133928568</v>
      </c>
      <c r="D21" s="157">
        <f t="shared" ref="D21:I21" si="9">(D34+D37)/2*$B$21/12</f>
        <v>4.3409993973214283</v>
      </c>
      <c r="E21" s="157">
        <f t="shared" si="9"/>
        <v>4.1063507812499997</v>
      </c>
      <c r="F21" s="157">
        <f t="shared" si="9"/>
        <v>3.8717021651785717</v>
      </c>
      <c r="G21" s="157">
        <f t="shared" si="9"/>
        <v>3.6370535491071432</v>
      </c>
      <c r="H21" s="157">
        <f t="shared" si="9"/>
        <v>3.4024049330357147</v>
      </c>
      <c r="I21" s="157">
        <f t="shared" si="9"/>
        <v>3.1677563169642862</v>
      </c>
    </row>
    <row r="22" spans="1:10">
      <c r="A22" s="81" t="s">
        <v>114</v>
      </c>
      <c r="B22" s="81"/>
      <c r="C22" s="149">
        <f>10584*3/12/1000</f>
        <v>2.6459999999999999</v>
      </c>
      <c r="D22" s="157">
        <f t="shared" ref="D22:I22" si="10">C22+C22*$D$3</f>
        <v>2.6459999999999999</v>
      </c>
      <c r="E22" s="157">
        <f t="shared" si="10"/>
        <v>2.6459999999999999</v>
      </c>
      <c r="F22" s="157">
        <f t="shared" si="10"/>
        <v>2.6459999999999999</v>
      </c>
      <c r="G22" s="157">
        <f t="shared" si="10"/>
        <v>2.6459999999999999</v>
      </c>
      <c r="H22" s="157">
        <f t="shared" si="10"/>
        <v>2.6459999999999999</v>
      </c>
      <c r="I22" s="157">
        <f t="shared" si="10"/>
        <v>2.6459999999999999</v>
      </c>
      <c r="J22" s="78" t="s">
        <v>225</v>
      </c>
    </row>
    <row r="24" spans="1:10">
      <c r="C24" s="177"/>
    </row>
    <row r="25" spans="1:10">
      <c r="A25" s="367" t="s">
        <v>90</v>
      </c>
      <c r="B25" s="367"/>
      <c r="C25" s="367"/>
      <c r="D25" s="367"/>
      <c r="E25" s="367"/>
      <c r="F25" s="368"/>
      <c r="G25" s="181"/>
      <c r="H25" s="181"/>
      <c r="I25" s="181"/>
    </row>
    <row r="26" spans="1:10">
      <c r="A26" s="79" t="s">
        <v>96</v>
      </c>
      <c r="C26" s="146">
        <v>1</v>
      </c>
      <c r="D26" s="146">
        <f t="shared" ref="D26:I26" si="11">C26+1</f>
        <v>2</v>
      </c>
      <c r="E26" s="146">
        <f t="shared" si="11"/>
        <v>3</v>
      </c>
      <c r="F26" s="146">
        <f t="shared" si="11"/>
        <v>4</v>
      </c>
      <c r="G26" s="182">
        <f t="shared" si="11"/>
        <v>5</v>
      </c>
      <c r="H26" s="182">
        <f t="shared" si="11"/>
        <v>6</v>
      </c>
      <c r="I26" s="182">
        <f t="shared" si="11"/>
        <v>7</v>
      </c>
    </row>
    <row r="27" spans="1:10">
      <c r="A27" s="81" t="s">
        <v>91</v>
      </c>
      <c r="B27" s="178"/>
      <c r="C27" s="81"/>
      <c r="D27" s="81"/>
      <c r="E27" s="81"/>
      <c r="F27" s="81"/>
      <c r="G27" s="81"/>
      <c r="H27" s="81"/>
      <c r="I27" s="81"/>
    </row>
    <row r="28" spans="1:10">
      <c r="A28" s="81" t="s">
        <v>92</v>
      </c>
      <c r="B28" s="179"/>
      <c r="C28" s="157">
        <f>C34+C40+C46</f>
        <v>41061.561428571425</v>
      </c>
      <c r="D28" s="157">
        <f t="shared" ref="D28:I28" si="12">D34+D40+D46</f>
        <v>37581.134928571424</v>
      </c>
      <c r="E28" s="157">
        <f t="shared" si="12"/>
        <v>34100.70842857143</v>
      </c>
      <c r="F28" s="157">
        <f t="shared" si="12"/>
        <v>30620.281928571429</v>
      </c>
      <c r="G28" s="157">
        <f t="shared" si="12"/>
        <v>27139.855428571427</v>
      </c>
      <c r="H28" s="157">
        <f t="shared" si="12"/>
        <v>23659.428928571429</v>
      </c>
      <c r="I28" s="157">
        <f t="shared" si="12"/>
        <v>20179.002428571432</v>
      </c>
    </row>
    <row r="29" spans="1:10">
      <c r="A29" s="81" t="s">
        <v>93</v>
      </c>
      <c r="B29" s="179"/>
      <c r="C29" s="157">
        <f>C35+C41+C47</f>
        <v>0</v>
      </c>
      <c r="D29" s="157">
        <f t="shared" ref="D29:I29" si="13">D35+D41+D47</f>
        <v>0</v>
      </c>
      <c r="E29" s="157">
        <f t="shared" si="13"/>
        <v>0</v>
      </c>
      <c r="F29" s="157">
        <f t="shared" si="13"/>
        <v>0</v>
      </c>
      <c r="G29" s="157">
        <f t="shared" si="13"/>
        <v>0</v>
      </c>
      <c r="H29" s="157">
        <f t="shared" si="13"/>
        <v>0</v>
      </c>
      <c r="I29" s="157">
        <f t="shared" si="13"/>
        <v>0</v>
      </c>
    </row>
    <row r="30" spans="1:10">
      <c r="A30" s="159" t="s">
        <v>94</v>
      </c>
      <c r="B30" s="159"/>
      <c r="C30" s="158">
        <f>C36+C42+C48</f>
        <v>3480.4265</v>
      </c>
      <c r="D30" s="158">
        <f t="shared" ref="D30:I30" si="14">D36+D42+D48</f>
        <v>3480.4265</v>
      </c>
      <c r="E30" s="158">
        <f t="shared" si="14"/>
        <v>3480.4265</v>
      </c>
      <c r="F30" s="158">
        <f t="shared" si="14"/>
        <v>3480.4265</v>
      </c>
      <c r="G30" s="158">
        <f t="shared" si="14"/>
        <v>3480.4265</v>
      </c>
      <c r="H30" s="158">
        <f t="shared" si="14"/>
        <v>3480.4265</v>
      </c>
      <c r="I30" s="158">
        <f t="shared" si="14"/>
        <v>3480.4265</v>
      </c>
    </row>
    <row r="31" spans="1:10">
      <c r="A31" s="81" t="s">
        <v>95</v>
      </c>
      <c r="B31" s="179"/>
      <c r="C31" s="157">
        <f t="shared" ref="C31:I31" si="15">C28+C29-C30</f>
        <v>37581.134928571424</v>
      </c>
      <c r="D31" s="157">
        <f t="shared" si="15"/>
        <v>34100.708428571423</v>
      </c>
      <c r="E31" s="157">
        <f t="shared" si="15"/>
        <v>30620.281928571429</v>
      </c>
      <c r="F31" s="157">
        <f t="shared" si="15"/>
        <v>27139.855428571427</v>
      </c>
      <c r="G31" s="157">
        <f t="shared" si="15"/>
        <v>23659.428928571426</v>
      </c>
      <c r="H31" s="157">
        <f t="shared" si="15"/>
        <v>20179.002428571428</v>
      </c>
      <c r="I31" s="157">
        <f t="shared" si="15"/>
        <v>16698.57592857143</v>
      </c>
    </row>
    <row r="32" spans="1:10" hidden="1" outlineLevel="1">
      <c r="A32" s="79" t="s">
        <v>124</v>
      </c>
      <c r="C32" s="146"/>
      <c r="D32" s="146"/>
      <c r="E32" s="146"/>
      <c r="F32" s="146"/>
      <c r="G32" s="146"/>
      <c r="H32" s="146"/>
      <c r="I32" s="146"/>
    </row>
    <row r="33" spans="1:9" hidden="1" outlineLevel="1">
      <c r="A33" s="81" t="s">
        <v>91</v>
      </c>
      <c r="B33" s="180">
        <v>0.05</v>
      </c>
      <c r="C33" s="81"/>
      <c r="D33" s="81"/>
      <c r="E33" s="81"/>
      <c r="F33" s="81"/>
      <c r="G33" s="81"/>
      <c r="H33" s="81"/>
      <c r="I33" s="81"/>
    </row>
    <row r="34" spans="1:9" hidden="1" outlineLevel="1">
      <c r="A34" s="81" t="s">
        <v>92</v>
      </c>
      <c r="B34" s="179"/>
      <c r="C34" s="150">
        <f>Инв!C22</f>
        <v>12514.592857142858</v>
      </c>
      <c r="D34" s="157">
        <f t="shared" ref="D34:I34" si="16">C37</f>
        <v>11888.863214285715</v>
      </c>
      <c r="E34" s="157">
        <f t="shared" si="16"/>
        <v>11263.133571428572</v>
      </c>
      <c r="F34" s="157">
        <f t="shared" si="16"/>
        <v>10637.40392857143</v>
      </c>
      <c r="G34" s="157">
        <f t="shared" si="16"/>
        <v>10011.674285714287</v>
      </c>
      <c r="H34" s="157">
        <f t="shared" si="16"/>
        <v>9385.9446428571446</v>
      </c>
      <c r="I34" s="157">
        <f t="shared" si="16"/>
        <v>8760.215000000002</v>
      </c>
    </row>
    <row r="35" spans="1:9" hidden="1" outlineLevel="1">
      <c r="A35" s="81" t="s">
        <v>93</v>
      </c>
      <c r="B35" s="179"/>
      <c r="C35" s="157"/>
      <c r="D35" s="157"/>
      <c r="E35" s="157"/>
      <c r="F35" s="157"/>
      <c r="G35" s="157"/>
      <c r="H35" s="157"/>
      <c r="I35" s="157"/>
    </row>
    <row r="36" spans="1:9" hidden="1" outlineLevel="1">
      <c r="A36" s="159" t="s">
        <v>94</v>
      </c>
      <c r="B36" s="159"/>
      <c r="C36" s="158">
        <f t="shared" ref="C36:I36" si="17">$C34*$B33</f>
        <v>625.72964285714295</v>
      </c>
      <c r="D36" s="158">
        <f t="shared" si="17"/>
        <v>625.72964285714295</v>
      </c>
      <c r="E36" s="158">
        <f t="shared" si="17"/>
        <v>625.72964285714295</v>
      </c>
      <c r="F36" s="158">
        <f t="shared" si="17"/>
        <v>625.72964285714295</v>
      </c>
      <c r="G36" s="158">
        <f t="shared" si="17"/>
        <v>625.72964285714295</v>
      </c>
      <c r="H36" s="158">
        <f t="shared" si="17"/>
        <v>625.72964285714295</v>
      </c>
      <c r="I36" s="158">
        <f t="shared" si="17"/>
        <v>625.72964285714295</v>
      </c>
    </row>
    <row r="37" spans="1:9" hidden="1" outlineLevel="1">
      <c r="A37" s="81" t="s">
        <v>95</v>
      </c>
      <c r="B37" s="179"/>
      <c r="C37" s="157">
        <f t="shared" ref="C37:I37" si="18">C34+C35-C36</f>
        <v>11888.863214285715</v>
      </c>
      <c r="D37" s="157">
        <f t="shared" si="18"/>
        <v>11263.133571428572</v>
      </c>
      <c r="E37" s="157">
        <f t="shared" si="18"/>
        <v>10637.40392857143</v>
      </c>
      <c r="F37" s="157">
        <f t="shared" si="18"/>
        <v>10011.674285714287</v>
      </c>
      <c r="G37" s="157">
        <f t="shared" si="18"/>
        <v>9385.9446428571446</v>
      </c>
      <c r="H37" s="157">
        <f t="shared" si="18"/>
        <v>8760.215000000002</v>
      </c>
      <c r="I37" s="157">
        <f t="shared" si="18"/>
        <v>8134.4853571428594</v>
      </c>
    </row>
    <row r="38" spans="1:9" hidden="1" outlineLevel="1">
      <c r="A38" s="79" t="s">
        <v>118</v>
      </c>
      <c r="C38" s="146"/>
      <c r="D38" s="146"/>
      <c r="E38" s="146"/>
      <c r="F38" s="146"/>
      <c r="G38" s="146"/>
      <c r="H38" s="146"/>
      <c r="I38" s="146"/>
    </row>
    <row r="39" spans="1:9" hidden="1" outlineLevel="1">
      <c r="A39" s="81" t="s">
        <v>91</v>
      </c>
      <c r="B39" s="180">
        <v>0.1</v>
      </c>
      <c r="C39" s="81"/>
      <c r="D39" s="81"/>
      <c r="E39" s="81"/>
      <c r="F39" s="81"/>
      <c r="G39" s="81"/>
      <c r="H39" s="81"/>
      <c r="I39" s="81"/>
    </row>
    <row r="40" spans="1:9" hidden="1" outlineLevel="1">
      <c r="A40" s="81" t="s">
        <v>92</v>
      </c>
      <c r="B40" s="179"/>
      <c r="C40" s="157">
        <f>Инв!C23</f>
        <v>9810.6828571428578</v>
      </c>
      <c r="D40" s="157">
        <f t="shared" ref="D40:I40" si="19">C43</f>
        <v>8829.6145714285722</v>
      </c>
      <c r="E40" s="157">
        <f t="shared" si="19"/>
        <v>7848.5462857142866</v>
      </c>
      <c r="F40" s="157">
        <f t="shared" si="19"/>
        <v>6867.478000000001</v>
      </c>
      <c r="G40" s="157">
        <f t="shared" si="19"/>
        <v>5886.4097142857154</v>
      </c>
      <c r="H40" s="157">
        <f t="shared" si="19"/>
        <v>4905.3414285714298</v>
      </c>
      <c r="I40" s="157">
        <f t="shared" si="19"/>
        <v>3924.2731428571442</v>
      </c>
    </row>
    <row r="41" spans="1:9" hidden="1" outlineLevel="1">
      <c r="A41" s="81" t="s">
        <v>93</v>
      </c>
      <c r="B41" s="179"/>
      <c r="C41" s="157"/>
      <c r="D41" s="157"/>
      <c r="E41" s="157"/>
      <c r="F41" s="157"/>
      <c r="G41" s="157"/>
      <c r="H41" s="157"/>
      <c r="I41" s="157"/>
    </row>
    <row r="42" spans="1:9" hidden="1" outlineLevel="1">
      <c r="A42" s="159" t="s">
        <v>94</v>
      </c>
      <c r="B42" s="159"/>
      <c r="C42" s="158">
        <f t="shared" ref="C42:I42" si="20">$C40*$B39</f>
        <v>981.06828571428582</v>
      </c>
      <c r="D42" s="158">
        <f t="shared" si="20"/>
        <v>981.06828571428582</v>
      </c>
      <c r="E42" s="158">
        <f t="shared" si="20"/>
        <v>981.06828571428582</v>
      </c>
      <c r="F42" s="158">
        <f t="shared" si="20"/>
        <v>981.06828571428582</v>
      </c>
      <c r="G42" s="158">
        <f t="shared" si="20"/>
        <v>981.06828571428582</v>
      </c>
      <c r="H42" s="158">
        <f t="shared" si="20"/>
        <v>981.06828571428582</v>
      </c>
      <c r="I42" s="158">
        <f t="shared" si="20"/>
        <v>981.06828571428582</v>
      </c>
    </row>
    <row r="43" spans="1:9" hidden="1" outlineLevel="1">
      <c r="A43" s="81" t="s">
        <v>95</v>
      </c>
      <c r="B43" s="179"/>
      <c r="C43" s="157">
        <f t="shared" ref="C43:I43" si="21">C40+C41-C42</f>
        <v>8829.6145714285722</v>
      </c>
      <c r="D43" s="157">
        <f t="shared" si="21"/>
        <v>7848.5462857142866</v>
      </c>
      <c r="E43" s="157">
        <f t="shared" si="21"/>
        <v>6867.478000000001</v>
      </c>
      <c r="F43" s="157">
        <f t="shared" si="21"/>
        <v>5886.4097142857154</v>
      </c>
      <c r="G43" s="157">
        <f t="shared" si="21"/>
        <v>4905.3414285714298</v>
      </c>
      <c r="H43" s="157">
        <f t="shared" si="21"/>
        <v>3924.2731428571442</v>
      </c>
      <c r="I43" s="157">
        <f t="shared" si="21"/>
        <v>2943.2048571428586</v>
      </c>
    </row>
    <row r="44" spans="1:9" hidden="1" outlineLevel="1">
      <c r="A44" s="79" t="s">
        <v>222</v>
      </c>
      <c r="C44" s="146"/>
      <c r="D44" s="146"/>
      <c r="E44" s="146"/>
      <c r="F44" s="146"/>
      <c r="G44" s="146"/>
      <c r="H44" s="146"/>
      <c r="I44" s="146"/>
    </row>
    <row r="45" spans="1:9" hidden="1" outlineLevel="1">
      <c r="A45" s="81" t="s">
        <v>91</v>
      </c>
      <c r="B45" s="180">
        <v>0.1</v>
      </c>
      <c r="C45" s="81"/>
      <c r="D45" s="81"/>
      <c r="E45" s="81"/>
      <c r="F45" s="81"/>
      <c r="G45" s="81"/>
      <c r="H45" s="81"/>
      <c r="I45" s="81"/>
    </row>
    <row r="46" spans="1:9" hidden="1" outlineLevel="1">
      <c r="A46" s="81" t="s">
        <v>92</v>
      </c>
      <c r="B46" s="179"/>
      <c r="C46" s="157">
        <f>Инв!C24</f>
        <v>18736.285714285714</v>
      </c>
      <c r="D46" s="157">
        <f t="shared" ref="D46:I46" si="22">C49</f>
        <v>16862.657142857141</v>
      </c>
      <c r="E46" s="157">
        <f t="shared" si="22"/>
        <v>14989.028571428569</v>
      </c>
      <c r="F46" s="157">
        <f t="shared" si="22"/>
        <v>13115.399999999998</v>
      </c>
      <c r="G46" s="157">
        <f t="shared" si="22"/>
        <v>11241.771428571426</v>
      </c>
      <c r="H46" s="157">
        <f t="shared" si="22"/>
        <v>9368.1428571428551</v>
      </c>
      <c r="I46" s="157">
        <f t="shared" si="22"/>
        <v>7494.5142857142837</v>
      </c>
    </row>
    <row r="47" spans="1:9" hidden="1" outlineLevel="1">
      <c r="A47" s="81" t="s">
        <v>93</v>
      </c>
      <c r="B47" s="179"/>
      <c r="C47" s="157"/>
      <c r="D47" s="157"/>
      <c r="E47" s="157"/>
      <c r="F47" s="157"/>
      <c r="G47" s="157"/>
      <c r="H47" s="157"/>
      <c r="I47" s="157"/>
    </row>
    <row r="48" spans="1:9" hidden="1" outlineLevel="1">
      <c r="A48" s="159" t="s">
        <v>94</v>
      </c>
      <c r="B48" s="159"/>
      <c r="C48" s="158">
        <f t="shared" ref="C48:I48" si="23">$C46*$B45</f>
        <v>1873.6285714285714</v>
      </c>
      <c r="D48" s="158">
        <f t="shared" si="23"/>
        <v>1873.6285714285714</v>
      </c>
      <c r="E48" s="158">
        <f t="shared" si="23"/>
        <v>1873.6285714285714</v>
      </c>
      <c r="F48" s="158">
        <f t="shared" si="23"/>
        <v>1873.6285714285714</v>
      </c>
      <c r="G48" s="158">
        <f t="shared" si="23"/>
        <v>1873.6285714285714</v>
      </c>
      <c r="H48" s="158">
        <f t="shared" si="23"/>
        <v>1873.6285714285714</v>
      </c>
      <c r="I48" s="158">
        <f t="shared" si="23"/>
        <v>1873.6285714285714</v>
      </c>
    </row>
    <row r="49" spans="1:9" hidden="1" outlineLevel="1">
      <c r="A49" s="81" t="s">
        <v>95</v>
      </c>
      <c r="B49" s="179"/>
      <c r="C49" s="157">
        <f t="shared" ref="C49:I49" si="24">C46+C47-C48</f>
        <v>16862.657142857141</v>
      </c>
      <c r="D49" s="157">
        <f t="shared" si="24"/>
        <v>14989.028571428569</v>
      </c>
      <c r="E49" s="157">
        <f t="shared" si="24"/>
        <v>13115.399999999998</v>
      </c>
      <c r="F49" s="157">
        <f t="shared" si="24"/>
        <v>11241.771428571426</v>
      </c>
      <c r="G49" s="157">
        <f t="shared" si="24"/>
        <v>9368.1428571428551</v>
      </c>
      <c r="H49" s="157">
        <f t="shared" si="24"/>
        <v>7494.5142857142837</v>
      </c>
      <c r="I49" s="157">
        <f t="shared" si="24"/>
        <v>5620.8857142857123</v>
      </c>
    </row>
    <row r="50" spans="1:9" collapsed="1"/>
  </sheetData>
  <mergeCells count="1">
    <mergeCell ref="A25:F25"/>
  </mergeCells>
  <pageMargins left="0.3" right="0.25" top="0.3" bottom="0.61" header="0.2" footer="0.3"/>
  <pageSetup paperSize="9" orientation="landscape" r:id="rId1"/>
  <headerFooter alignWithMargins="0"/>
  <picture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13</vt:i4>
      </vt:variant>
      <vt:variant>
        <vt:lpstr>Именованные диапазоны</vt:lpstr>
      </vt:variant>
      <vt:variant>
        <vt:i4>16</vt:i4>
      </vt:variant>
    </vt:vector>
  </HeadingPairs>
  <TitlesOfParts>
    <vt:vector size="29" baseType="lpstr">
      <vt:lpstr>1-Ф3</vt:lpstr>
      <vt:lpstr>2-ф2</vt:lpstr>
      <vt:lpstr>3-Баланс</vt:lpstr>
      <vt:lpstr>Исх</vt:lpstr>
      <vt:lpstr>Дох</vt:lpstr>
      <vt:lpstr>Расх перем</vt:lpstr>
      <vt:lpstr>Производство</vt:lpstr>
      <vt:lpstr>ФОТ</vt:lpstr>
      <vt:lpstr>Пост</vt:lpstr>
      <vt:lpstr>кр</vt:lpstr>
      <vt:lpstr>Инв</vt:lpstr>
      <vt:lpstr>безубыт</vt:lpstr>
      <vt:lpstr>для текста</vt:lpstr>
      <vt:lpstr>'2-ф2'!Заголовки_для_печати</vt:lpstr>
      <vt:lpstr>'3-Баланс'!Заголовки_для_печати</vt:lpstr>
      <vt:lpstr>Инв!Заголовки_для_печати</vt:lpstr>
      <vt:lpstr>кр!Заголовки_для_печати</vt:lpstr>
      <vt:lpstr>Производство!Заголовки_для_печати</vt:lpstr>
      <vt:lpstr>ФОТ!Заголовки_для_печати</vt:lpstr>
      <vt:lpstr>ндс</vt:lpstr>
      <vt:lpstr>'1-Ф3'!Область_печати</vt:lpstr>
      <vt:lpstr>'2-ф2'!Область_печати</vt:lpstr>
      <vt:lpstr>'3-Баланс'!Область_печати</vt:lpstr>
      <vt:lpstr>'для текста'!Область_печати</vt:lpstr>
      <vt:lpstr>Инв!Область_печати</vt:lpstr>
      <vt:lpstr>кр!Область_печати</vt:lpstr>
      <vt:lpstr>Производство!Область_печати</vt:lpstr>
      <vt:lpstr>'Расх перем'!Область_печати</vt:lpstr>
      <vt:lpstr>ФОТ!Область_печати</vt:lpstr>
    </vt:vector>
  </TitlesOfParts>
  <Company>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ТЭО</dc:title>
  <dc:creator>m_anfinogenov</dc:creator>
  <cp:lastModifiedBy>HP</cp:lastModifiedBy>
  <cp:lastPrinted>2011-12-17T07:09:29Z</cp:lastPrinted>
  <dcterms:created xsi:type="dcterms:W3CDTF">2006-03-01T15:11:19Z</dcterms:created>
  <dcterms:modified xsi:type="dcterms:W3CDTF">2012-01-22T15:37:20Z</dcterms:modified>
</cp:coreProperties>
</file>