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85" windowHeight="6210" tabRatio="865" firstSheet="2" activeTab="3"/>
  </bookViews>
  <sheets>
    <sheet name="Содержание" sheetId="1" r:id="rId1"/>
    <sheet name="1.График (гориз)" sheetId="2" state="hidden" r:id="rId2"/>
    <sheet name="инвестиции" sheetId="3" r:id="rId3"/>
    <sheet name="2.Персонал" sheetId="4" r:id="rId4"/>
    <sheet name="3.Выручка" sheetId="5" r:id="rId5"/>
    <sheet name="4.Себестоимость" sheetId="6" r:id="rId6"/>
    <sheet name="5.Затраты" sheetId="7" r:id="rId7"/>
    <sheet name="6.ОПУ" sheetId="8" r:id="rId8"/>
    <sheet name="7.CF" sheetId="9" r:id="rId9"/>
    <sheet name="8.Эффективность" sheetId="10" r:id="rId10"/>
    <sheet name="9.Точка безубыточности" sheetId="11" r:id="rId11"/>
    <sheet name="график" sheetId="12" r:id="rId12"/>
  </sheets>
  <externalReferences>
    <externalReference r:id="rId15"/>
  </externalReferences>
  <definedNames>
    <definedName name="budj_disk_last">#REF!</definedName>
    <definedName name="budj_last">#REF!</definedName>
    <definedName name="id_budj_last">#REF!</definedName>
    <definedName name="id_last">#REF!</definedName>
    <definedName name="ncf_last">#REF!</definedName>
    <definedName name="nvp_last">#REF!</definedName>
    <definedName name="sp">'[1]Data-in'!$B$1381</definedName>
    <definedName name="_xlnm.Print_Titles" localSheetId="7">'6.ОПУ'!$A:$A</definedName>
    <definedName name="_xlnm.Print_Titles" localSheetId="8">'7.CF'!$A:$A</definedName>
    <definedName name="_xlnm.Print_Area" localSheetId="8">'7.CF'!$A$1:$W$37</definedName>
    <definedName name="_xlnm.Print_Area" localSheetId="10">'9.Точка безубыточности'!$A$1:$N$37</definedName>
  </definedNames>
  <calcPr fullCalcOnLoad="1"/>
</workbook>
</file>

<file path=xl/comments11.xml><?xml version="1.0" encoding="utf-8"?>
<comments xmlns="http://schemas.openxmlformats.org/spreadsheetml/2006/main">
  <authors>
    <author>Михаил</author>
  </authors>
  <commentList>
    <comment ref="A14" authorId="0">
      <text>
        <r>
          <rPr>
            <sz val="8"/>
            <rFont val="Tahoma"/>
            <family val="2"/>
          </rPr>
          <t>Разница между выручкой от реализации и точкой безубыточности</t>
        </r>
      </text>
    </comment>
    <comment ref="A15" authorId="0">
      <text>
        <r>
          <rPr>
            <sz val="8"/>
            <rFont val="Tahoma"/>
            <family val="2"/>
          </rPr>
          <t>Запас прочности, рассчитанный с применением точки безубыточности, представлен в процентном соотношении и равен частному от деления отклонения от ТБ в абсолютном выражении и выручки от реализации.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Курс Нац.банка на 17.10.11</t>
        </r>
      </text>
    </comment>
  </commentList>
</comments>
</file>

<file path=xl/sharedStrings.xml><?xml version="1.0" encoding="utf-8"?>
<sst xmlns="http://schemas.openxmlformats.org/spreadsheetml/2006/main" count="715" uniqueCount="299">
  <si>
    <t>ИТОГО</t>
  </si>
  <si>
    <t xml:space="preserve">Процентная ставка </t>
  </si>
  <si>
    <t>годовых</t>
  </si>
  <si>
    <t>Срок кредитования</t>
  </si>
  <si>
    <t>месяцев</t>
  </si>
  <si>
    <t>Период</t>
  </si>
  <si>
    <t>Приложение 1</t>
  </si>
  <si>
    <t>Сумма кредита</t>
  </si>
  <si>
    <t>Непогашенный остаток</t>
  </si>
  <si>
    <t>Выплата основного долга</t>
  </si>
  <si>
    <t>Начислено процентов</t>
  </si>
  <si>
    <t>Итого к оплате</t>
  </si>
  <si>
    <t>Наименование статей дохода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</si>
  <si>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</si>
  <si>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</si>
  <si>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</si>
  <si>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</si>
  <si>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</si>
  <si>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</si>
  <si>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</si>
  <si>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</si>
  <si>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</si>
  <si>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</si>
  <si>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</si>
  <si>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</si>
  <si>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Экономическая эффективность проекта</t>
  </si>
  <si>
    <t>1. Определение Чистого приведенного дохода (NPV)</t>
  </si>
  <si>
    <t>Год</t>
  </si>
  <si>
    <t>1-й год</t>
  </si>
  <si>
    <t>2-й год</t>
  </si>
  <si>
    <t>3-й год</t>
  </si>
  <si>
    <t>4-й год</t>
  </si>
  <si>
    <t>5-й год</t>
  </si>
  <si>
    <t>Определение текщей стоимости доходов:</t>
  </si>
  <si>
    <t>Денежные поступления</t>
  </si>
  <si>
    <t>Коэффициент дисконтирования</t>
  </si>
  <si>
    <t>NPV</t>
  </si>
  <si>
    <t>0-й год</t>
  </si>
  <si>
    <t>2. Определение внутренней нормы доходности IRR</t>
  </si>
  <si>
    <t>Для определения IRR смоделируем ситуацию</t>
  </si>
  <si>
    <t>r1=</t>
  </si>
  <si>
    <t>r2=</t>
  </si>
  <si>
    <t>NPV 1</t>
  </si>
  <si>
    <t>NPV2</t>
  </si>
  <si>
    <t>IRR=</t>
  </si>
  <si>
    <t>%</t>
  </si>
  <si>
    <t>3. Срок окупаемости всего проекта  (простой и дисконтированный)</t>
  </si>
  <si>
    <t>тыс. тенге</t>
  </si>
  <si>
    <t>период</t>
  </si>
  <si>
    <t>Инвестиции</t>
  </si>
  <si>
    <t>Чистая прибыль</t>
  </si>
  <si>
    <t>Финансовые издержки</t>
  </si>
  <si>
    <t>Поток наличности</t>
  </si>
  <si>
    <t>Кумулятивный поток наличности</t>
  </si>
  <si>
    <t>Фактор дисконтирования при ставке 18%</t>
  </si>
  <si>
    <t>Дисконтированный поток наличности</t>
  </si>
  <si>
    <t>Кумулятивный поток дисконтированной наличности</t>
  </si>
  <si>
    <t>Срок окупаемости проекта = n + /CFn+1//(/CFn/ + /CFn + /))</t>
  </si>
  <si>
    <t xml:space="preserve">Простой срок окупаемости проекта = </t>
  </si>
  <si>
    <t>года/лет</t>
  </si>
  <si>
    <t>Дисконтированный срок окупаемости проекта =</t>
  </si>
  <si>
    <t>Расчет доходной части проекта</t>
  </si>
  <si>
    <t>ВСЕГО ПО ПРОЕКТУ</t>
  </si>
  <si>
    <t>Отчет о прибылях  убытках, в тенге</t>
  </si>
  <si>
    <t>Итого 1-й год</t>
  </si>
  <si>
    <t>Итого 2-й год</t>
  </si>
  <si>
    <t>Итого 3-й год</t>
  </si>
  <si>
    <t>Итого 4-й год</t>
  </si>
  <si>
    <t>Итого 5-й год</t>
  </si>
  <si>
    <t xml:space="preserve">График погашения кредитных средств по месяцам </t>
  </si>
  <si>
    <t>в количестве</t>
  </si>
  <si>
    <t>чел.</t>
  </si>
  <si>
    <t>С месячным ФОТ</t>
  </si>
  <si>
    <t>тенге</t>
  </si>
  <si>
    <t>№ п/п</t>
  </si>
  <si>
    <t>Должность</t>
  </si>
  <si>
    <t>Должностной оклад, тенге</t>
  </si>
  <si>
    <t>Месячный ФОТ, тенге</t>
  </si>
  <si>
    <t>Директор</t>
  </si>
  <si>
    <t>Итого</t>
  </si>
  <si>
    <t>АУП</t>
  </si>
  <si>
    <t>ВСЕГО</t>
  </si>
  <si>
    <t>Заработная плата</t>
  </si>
  <si>
    <t>Текущие затраты</t>
  </si>
  <si>
    <t>Специальность</t>
  </si>
  <si>
    <t>Тенге в месяц</t>
  </si>
  <si>
    <t>Административные и общехозяйственные расходы, в том числе:</t>
  </si>
  <si>
    <t>Соц.налог+Соц.отчисления</t>
  </si>
  <si>
    <t>Прочие непредвиденные</t>
  </si>
  <si>
    <t>Хозрасходы</t>
  </si>
  <si>
    <t>Канцтовары</t>
  </si>
  <si>
    <t>Услуги связи (телефон, интернет, почта)</t>
  </si>
  <si>
    <t>ПРОГНОЗ</t>
  </si>
  <si>
    <t>Выручка без НДС</t>
  </si>
  <si>
    <t>Валовая прибыль</t>
  </si>
  <si>
    <t>Операционные расходы</t>
  </si>
  <si>
    <t>Итого операционные затраты</t>
  </si>
  <si>
    <t>Вознаграждение по кредиту</t>
  </si>
  <si>
    <t>Выручка от реализации</t>
  </si>
  <si>
    <t>Платеж НДС (справочно)</t>
  </si>
  <si>
    <t>Себестоимость</t>
  </si>
  <si>
    <t>Прибыль до налогообложения</t>
  </si>
  <si>
    <t>Налог на прибыль</t>
  </si>
  <si>
    <t>Погашение основного долга по кредиту</t>
  </si>
  <si>
    <t>НДС начисленный</t>
  </si>
  <si>
    <t>Социальный налог и соц.отчисления</t>
  </si>
  <si>
    <t>Денежные средства на начало</t>
  </si>
  <si>
    <t>Движение денежных средств от операционной деятельности</t>
  </si>
  <si>
    <t>Поступление денежных средств</t>
  </si>
  <si>
    <t>Собственные средства</t>
  </si>
  <si>
    <t>Выбытие денежных средств</t>
  </si>
  <si>
    <t>Вознаграждение за пользование кредитом</t>
  </si>
  <si>
    <t>НДС к уплате</t>
  </si>
  <si>
    <t>Результат от операционной деятельности</t>
  </si>
  <si>
    <t>Движение денежных средств от инвестиционной деятельности</t>
  </si>
  <si>
    <t>Результат от инвестиционной деятельности</t>
  </si>
  <si>
    <t>Движение денежных средств от финансовой деятельности</t>
  </si>
  <si>
    <t>Итого поступление денежных средств</t>
  </si>
  <si>
    <t>Кредит</t>
  </si>
  <si>
    <t>Результат от финансовой деятельности</t>
  </si>
  <si>
    <t>6-й год</t>
  </si>
  <si>
    <t>Итого 6-й год</t>
  </si>
  <si>
    <t>7-й год</t>
  </si>
  <si>
    <t>Итого 7-й год</t>
  </si>
  <si>
    <t>Опеределения текущей стоимости 1 тенге при ставке 18%:</t>
  </si>
  <si>
    <t>Приложение 8</t>
  </si>
  <si>
    <t>(в тыс.тенге)</t>
  </si>
  <si>
    <t>Год:</t>
  </si>
  <si>
    <t xml:space="preserve">Доход от основной деятельности                                   </t>
  </si>
  <si>
    <t>Валовый доход/Убыток</t>
  </si>
  <si>
    <t>Коэффициент маржинального дохода</t>
  </si>
  <si>
    <t>Точка безубыточности</t>
  </si>
  <si>
    <t>Отклонение от ТБ в абсолютном выражении</t>
  </si>
  <si>
    <t>Запас прочности по точке безубыточности</t>
  </si>
  <si>
    <r>
      <t>Точка Безубыточности</t>
    </r>
    <r>
      <rPr>
        <sz val="10"/>
        <rFont val="Times New Roman"/>
        <family val="1"/>
      </rPr>
      <t xml:space="preserve"> - это минимальный размер валовой выручки, необходимый для покрытия всех постоянных и переменных расходов.</t>
    </r>
  </si>
  <si>
    <t>Комиссия за выдачу кредита</t>
  </si>
  <si>
    <t>месяц</t>
  </si>
  <si>
    <t>НДС в зачет (справочно)</t>
  </si>
  <si>
    <t>ФИНАНСОВАЯ МОДЕЛЬ</t>
  </si>
  <si>
    <t>Заемные средства</t>
  </si>
  <si>
    <t>Основные показатели по проекту:</t>
  </si>
  <si>
    <t>Курс 1 долл. США, тенге</t>
  </si>
  <si>
    <t>8-й год</t>
  </si>
  <si>
    <t>9-й год</t>
  </si>
  <si>
    <t>10-й год</t>
  </si>
  <si>
    <t>Кол-во ед.</t>
  </si>
  <si>
    <t>Далее в ОПУ (с 3 по 10 год в расчетах запланированы продажи аналогично 2 года с учетом прогноза роста цен и изменения объемов производства, сбыта)</t>
  </si>
  <si>
    <t>Наименование статей расхода</t>
  </si>
  <si>
    <t>1.График (гориз)'!A1</t>
  </si>
  <si>
    <t>2.Персонал'!A1</t>
  </si>
  <si>
    <t>3.Выручка'!A1</t>
  </si>
  <si>
    <t>4.Себестоимость'!A1</t>
  </si>
  <si>
    <t>Расходы на рекламу и продвижение</t>
  </si>
  <si>
    <t>Штатное расписание</t>
  </si>
  <si>
    <t>5.Затраты'!A1</t>
  </si>
  <si>
    <t>6.Амортизация'!A1</t>
  </si>
  <si>
    <t>7.ОПУ'!A1</t>
  </si>
  <si>
    <t>Прогноз отчета о движении денежных средств</t>
  </si>
  <si>
    <t>Расчет точки безубыточности</t>
  </si>
  <si>
    <t>8.CF'!A1</t>
  </si>
  <si>
    <t>9.Эффективность'!A1</t>
  </si>
  <si>
    <t>10.ТОЧКА БЕЗУБЫТОЧНОСТИ'!A1</t>
  </si>
  <si>
    <t>Наименование приложения:</t>
  </si>
  <si>
    <t>Ссылка:</t>
  </si>
  <si>
    <t>Структура финансовой модели проекта</t>
  </si>
  <si>
    <t>Итого 8-й год</t>
  </si>
  <si>
    <t>Итого 9-й год</t>
  </si>
  <si>
    <t>Итого 10-й год</t>
  </si>
  <si>
    <t>НДС, 1-й год:</t>
  </si>
  <si>
    <t>НДС, 2-й год:</t>
  </si>
  <si>
    <r>
      <t>(1+r)</t>
    </r>
    <r>
      <rPr>
        <vertAlign val="superscript"/>
        <sz val="12"/>
        <rFont val="Arial Narrow"/>
        <family val="2"/>
      </rPr>
      <t>-n</t>
    </r>
  </si>
  <si>
    <t>Денежные средства на конец</t>
  </si>
  <si>
    <t>Вклад участника</t>
  </si>
  <si>
    <t>Субсидии на закуп базы (7%)</t>
  </si>
  <si>
    <t>субсидий от Фонда развития "Даму" отражены в приложениях "ОПУ" и "CF".</t>
  </si>
  <si>
    <t>Цех</t>
  </si>
  <si>
    <t>Оператор (вязальное производство)</t>
  </si>
  <si>
    <t>Оператор (ламинат машина)</t>
  </si>
  <si>
    <t>Влияние инфляции в динамике будущих периодов учтено как на доходы, так и на расходы, поэтому не индексировалось</t>
  </si>
  <si>
    <t>Калькуляции полной себестоимости 1 кв. м.  баннерной ткани</t>
  </si>
  <si>
    <t>Наименование статей затрат</t>
  </si>
  <si>
    <t>Баннерная ткань</t>
  </si>
  <si>
    <t>Тенге</t>
  </si>
  <si>
    <t>Уд. Вес (%)</t>
  </si>
  <si>
    <t>1. Сырье, материалы и комплектующие:</t>
  </si>
  <si>
    <t xml:space="preserve">   1.2.Кальций</t>
  </si>
  <si>
    <t xml:space="preserve">   1.3. Тканая основа</t>
  </si>
  <si>
    <t>2.Топливо и энергия</t>
  </si>
  <si>
    <t xml:space="preserve">   2.1.Эл.энергия</t>
  </si>
  <si>
    <t xml:space="preserve">   2.2.Отопление и ГВС</t>
  </si>
  <si>
    <t xml:space="preserve">   2.3.Вывоз мусора</t>
  </si>
  <si>
    <t xml:space="preserve">   2.4. Другие хоз.нужды</t>
  </si>
  <si>
    <t>3. Зарплата рабочих (сдельная)</t>
  </si>
  <si>
    <t>4. Прочие расходы:</t>
  </si>
  <si>
    <t xml:space="preserve">   4.1.Амортизация оборудования</t>
  </si>
  <si>
    <t xml:space="preserve">   4.2.Расходы на подготовку оборудования</t>
  </si>
  <si>
    <t xml:space="preserve">   4.3. Затраты на рекламу и сбыт</t>
  </si>
  <si>
    <t xml:space="preserve">  4.4. НДС</t>
  </si>
  <si>
    <t xml:space="preserve">  4.5. Налог на имущество</t>
  </si>
  <si>
    <t>Производственная себестоимость единицы выпускаемой продукции, услуги</t>
  </si>
  <si>
    <t>Коммунальные расходы</t>
  </si>
  <si>
    <t xml:space="preserve">процентная ставка АО "Банк Центр Кредит" при займе от 3 лет </t>
  </si>
  <si>
    <t>Субсидии от фонда "Даму" (7%)</t>
  </si>
  <si>
    <t>Цели финансирования</t>
  </si>
  <si>
    <t>За счет собственных средств</t>
  </si>
  <si>
    <t xml:space="preserve">За счет средств </t>
  </si>
  <si>
    <t>планируется</t>
  </si>
  <si>
    <t>в тенге</t>
  </si>
  <si>
    <t>в долларах США</t>
  </si>
  <si>
    <t>в долларах</t>
  </si>
  <si>
    <t xml:space="preserve">США </t>
  </si>
  <si>
    <t>Ограждение территории земельного участка по всему периметру</t>
  </si>
  <si>
    <t>итого</t>
  </si>
  <si>
    <t xml:space="preserve">Производственный план реализации проекта. </t>
  </si>
  <si>
    <t>Меро-приятия</t>
  </si>
  <si>
    <t>I год</t>
  </si>
  <si>
    <t>II год</t>
  </si>
  <si>
    <t>Подготовка бизнес-плана</t>
  </si>
  <si>
    <t>Маркетинговые исследования</t>
  </si>
  <si>
    <t>Отработка контрактов</t>
  </si>
  <si>
    <t>Поставка оборудования</t>
  </si>
  <si>
    <t>Наладка и запуск</t>
  </si>
  <si>
    <t>Выход на рынок РК</t>
  </si>
  <si>
    <t>Проведение круглого стола</t>
  </si>
  <si>
    <t>Реклама в СМИ</t>
  </si>
  <si>
    <t>Интернет реклама</t>
  </si>
  <si>
    <t>Создание дилерской сети в РК</t>
  </si>
  <si>
    <t>Размещение баннеров</t>
  </si>
  <si>
    <t>Реклама BTL()</t>
  </si>
  <si>
    <t>Примечание</t>
  </si>
  <si>
    <t>возмещение государство</t>
  </si>
  <si>
    <t>тенге за 1долл. США</t>
  </si>
  <si>
    <t>государства</t>
  </si>
  <si>
    <t>План финансирования по проекту "Организация автокинотеатра"</t>
  </si>
  <si>
    <t>Строительство пунктов для дополнительного сервиса</t>
  </si>
  <si>
    <t>Приобретение  прочего оборудования для точек дополнительного сервиса</t>
  </si>
  <si>
    <t>Приобретение мебели и оборудования для кинокафе</t>
  </si>
  <si>
    <t>Бухгалтер</t>
  </si>
  <si>
    <t>Кассир</t>
  </si>
  <si>
    <t>Продавец</t>
  </si>
  <si>
    <t>Официант</t>
  </si>
  <si>
    <t>Повар в кинокафе</t>
  </si>
  <si>
    <t>Кухонный рабочий</t>
  </si>
  <si>
    <t>Охранник</t>
  </si>
  <si>
    <t xml:space="preserve">Въезд автомобиля на территорию автокинотеатра </t>
  </si>
  <si>
    <t>средняя цена за  въезд 1 автомобиля, тенге</t>
  </si>
  <si>
    <t>1-й месяц (Апрель 2013)</t>
  </si>
  <si>
    <t>2-й месяц (Май 2013)</t>
  </si>
  <si>
    <t>3-й месяц (Июнь 2013)</t>
  </si>
  <si>
    <t>4-й месяц (Июль 2013)</t>
  </si>
  <si>
    <t>5-й месяц (Август 2013)</t>
  </si>
  <si>
    <t>6-й месяц (Сентябрь 2013)</t>
  </si>
  <si>
    <t>7-й месяц (Октябрь 2013)</t>
  </si>
  <si>
    <t>8-й месяц (Ноябрь 2013)</t>
  </si>
  <si>
    <t>9-й месяц (Декабрь 2013)</t>
  </si>
  <si>
    <t>10-й месяц (Январь 2014)</t>
  </si>
  <si>
    <t>11-й месяц (Февраль 2014)</t>
  </si>
  <si>
    <t>12-й месяц (Март 2014)</t>
  </si>
  <si>
    <t>Доход от кинокафе</t>
  </si>
  <si>
    <t>средний чек</t>
  </si>
  <si>
    <t>кол-во занятых столиков</t>
  </si>
  <si>
    <t>Доход от точек дополнительного сервиса</t>
  </si>
  <si>
    <t>1-й месяц (Апрель 2014)</t>
  </si>
  <si>
    <t>2-й месяц (Май 2014)</t>
  </si>
  <si>
    <t>3-й месяц (Июнь 2014)</t>
  </si>
  <si>
    <t>4-й месяц (Июль 2014)</t>
  </si>
  <si>
    <t>5-й месяц (Август 2014)</t>
  </si>
  <si>
    <t>6-й месяц (Сентябрь 2014)</t>
  </si>
  <si>
    <t>7-й месяц (Октябрь 2014)</t>
  </si>
  <si>
    <t>8-й месяц (Ноябрь 2014)</t>
  </si>
  <si>
    <t>9-й месяц (Декабрь 2014)</t>
  </si>
  <si>
    <t>10-й месяц (Январь 2015)</t>
  </si>
  <si>
    <t>12-й месяц (Март 2015)</t>
  </si>
  <si>
    <t>11-й месяц (Февраль 2015)</t>
  </si>
  <si>
    <t>Себестоимость предоставляемых услуг</t>
  </si>
  <si>
    <t xml:space="preserve">Заработная плата </t>
  </si>
  <si>
    <t>Себестоимость услуг кинокафе</t>
  </si>
  <si>
    <t>Себестоимость услуг дополнительного сервиса</t>
  </si>
  <si>
    <t xml:space="preserve">   1.1.Продукты питания и напитки </t>
  </si>
  <si>
    <t>Себестоимость услуги кинопоказа</t>
  </si>
  <si>
    <t>Арендные платежи</t>
  </si>
  <si>
    <t xml:space="preserve">ВСЕГО </t>
  </si>
  <si>
    <t>Ставка дисконтирования 12%</t>
  </si>
  <si>
    <t>Инвестиции в оборотный капитал на 2013 год (затраты на сырье, комплектующие, элетроэнергия, зарплата, налоги и др)</t>
  </si>
  <si>
    <t>Строительство/ремонт помещений</t>
  </si>
  <si>
    <t>Прибыль после уплаты налогов</t>
  </si>
  <si>
    <t xml:space="preserve">Прибыль до налогообложения </t>
  </si>
  <si>
    <t>кол-во автомобилей, шт.</t>
  </si>
  <si>
    <t>Приобретение  экранного полотна и комплектующих (проектор, транслятор)</t>
  </si>
  <si>
    <t>Доход от рекламы</t>
  </si>
  <si>
    <t>кол-во прокручиваемых реклам, ед.</t>
  </si>
  <si>
    <t>средний чек, тенге</t>
  </si>
  <si>
    <t>средняя стоимость за 1 ед. рекламы, тенге</t>
  </si>
  <si>
    <t>Себестоимость услуги кинопоказа и рекламы</t>
  </si>
  <si>
    <t>Строительство кассовых помещений (2 кассовых помещения)</t>
  </si>
  <si>
    <t>Закуп оборудования и прочей мебели</t>
  </si>
  <si>
    <t>Строительство кассовых помещений,  пунктов для доп.сервиса и ограждения</t>
  </si>
  <si>
    <t>Кинооператор</t>
  </si>
  <si>
    <t>Прочие непредвиденные и эксплуатационные расходы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</si>
</sst>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0.000000000"/>
    <numFmt numFmtId="181" formatCode="#,##0.000000000"/>
    <numFmt numFmtId="182" formatCode="#,##0.0000000"/>
    <numFmt numFmtId="183" formatCode="#,###;\-#,###;;@"/>
    <numFmt numFmtId="184" formatCode="#,##0_ ;[Red]\-#,##0\ "/>
    <numFmt numFmtId="185" formatCode="#,##0.00_ ;[Red]\-#,##0.00\ 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?_);_(@_)"/>
    <numFmt numFmtId="194" formatCode="_(* #,##0.0_);_(* \(#,##0.0\);_(* &quot;-&quot;?_);_(@_)"/>
    <numFmt numFmtId="195" formatCode="_(* #,##0.0000_);_(* \(#,##0.0000\);_(* &quot;-&quot;????_);_(@_)"/>
    <numFmt numFmtId="196" formatCode="#,##0.000"/>
    <numFmt numFmtId="197" formatCode="0_ ;[Red]\-0\ "/>
    <numFmt numFmtId="198" formatCode="dd/mm/yy;@"/>
    <numFmt numFmtId="199" formatCode="[$-F419]yyyy\,\ mmmm;@"/>
    <numFmt numFmtId="200" formatCode="[Red][&lt;1]0.00;0.00"/>
    <numFmt numFmtId="201" formatCode="0.00;[Red]0.00"/>
    <numFmt numFmtId="202" formatCode="0.00_ ;[Red]\-0.00\ "/>
    <numFmt numFmtId="203" formatCode="_-* #,##0_р_._-;\-* #,##0_р_._-;_-* &quot;-&quot;??_р_._-;_-@_-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_);[Red]\(#,##0.0\)"/>
    <numFmt numFmtId="208" formatCode="[$-FC19]d\ mmmm\ yyyy\ &quot;г.&quot;"/>
    <numFmt numFmtId="209" formatCode="0.000"/>
    <numFmt numFmtId="210" formatCode="_-* #,##0.0_р_._-;\-* #,##0.0_р_._-;_-* &quot;-&quot;?_р_._-;_-@_-"/>
    <numFmt numFmtId="211" formatCode="_(* #,##0.000000_);_(* \(#,##0.000000\);_(* &quot;-&quot;??_);_(@_)"/>
    <numFmt numFmtId="212" formatCode="0.0000000"/>
    <numFmt numFmtId="213" formatCode="0.000000"/>
    <numFmt numFmtId="214" formatCode="0.00000"/>
    <numFmt numFmtId="215" formatCode="0.0000"/>
    <numFmt numFmtId="216" formatCode="0.0000%"/>
    <numFmt numFmtId="217" formatCode="#,##0.00000"/>
  </numFmts>
  <fonts count="9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color indexed="12"/>
      <name val="Times New Roman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indexed="8"/>
      <name val="Verdana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color indexed="12"/>
      <name val="Arial Narrow"/>
      <family val="2"/>
    </font>
    <font>
      <b/>
      <sz val="12"/>
      <color indexed="18"/>
      <name val="Arial Narrow"/>
      <family val="2"/>
    </font>
    <font>
      <b/>
      <sz val="11"/>
      <color indexed="8"/>
      <name val="Arial Narrow"/>
      <family val="2"/>
    </font>
    <font>
      <sz val="12"/>
      <color indexed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vertAlign val="superscript"/>
      <sz val="12"/>
      <name val="Arial Narrow"/>
      <family val="2"/>
    </font>
    <font>
      <sz val="11"/>
      <color indexed="12"/>
      <name val="Arial Narrow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3" fontId="8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6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1" fontId="2" fillId="0" borderId="0" xfId="60" applyFont="1" applyFill="1" applyBorder="1" applyAlignment="1">
      <alignment/>
    </xf>
    <xf numFmtId="0" fontId="2" fillId="0" borderId="0" xfId="0" applyFont="1" applyBorder="1" applyAlignment="1">
      <alignment/>
    </xf>
    <xf numFmtId="9" fontId="18" fillId="0" borderId="16" xfId="60" applyNumberFormat="1" applyFont="1" applyFill="1" applyBorder="1" applyAlignment="1">
      <alignment horizontal="center"/>
    </xf>
    <xf numFmtId="187" fontId="2" fillId="0" borderId="0" xfId="60" applyNumberFormat="1" applyFont="1" applyBorder="1" applyAlignment="1">
      <alignment/>
    </xf>
    <xf numFmtId="187" fontId="2" fillId="0" borderId="0" xfId="60" applyNumberFormat="1" applyFont="1" applyAlignment="1">
      <alignment/>
    </xf>
    <xf numFmtId="3" fontId="7" fillId="0" borderId="0" xfId="0" applyNumberFormat="1" applyFont="1" applyFill="1" applyAlignment="1">
      <alignment/>
    </xf>
    <xf numFmtId="171" fontId="2" fillId="0" borderId="18" xfId="60" applyNumberFormat="1" applyFont="1" applyFill="1" applyBorder="1" applyAlignment="1">
      <alignment/>
    </xf>
    <xf numFmtId="171" fontId="2" fillId="0" borderId="0" xfId="60" applyNumberFormat="1" applyFont="1" applyFill="1" applyBorder="1" applyAlignment="1">
      <alignment/>
    </xf>
    <xf numFmtId="187" fontId="2" fillId="0" borderId="18" xfId="6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9" fontId="21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17" fontId="23" fillId="0" borderId="0" xfId="0" applyNumberFormat="1" applyFont="1" applyAlignment="1">
      <alignment/>
    </xf>
    <xf numFmtId="0" fontId="21" fillId="32" borderId="10" xfId="0" applyFont="1" applyFill="1" applyBorder="1" applyAlignment="1">
      <alignment horizontal="center"/>
    </xf>
    <xf numFmtId="17" fontId="21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3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" fontId="22" fillId="0" borderId="0" xfId="0" applyNumberFormat="1" applyFont="1" applyAlignment="1">
      <alignment/>
    </xf>
    <xf numFmtId="171" fontId="22" fillId="0" borderId="0" xfId="6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1" fillId="3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0" fontId="27" fillId="0" borderId="19" xfId="0" applyFont="1" applyBorder="1" applyAlignment="1">
      <alignment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171" fontId="26" fillId="0" borderId="0" xfId="60" applyFont="1" applyAlignment="1">
      <alignment/>
    </xf>
    <xf numFmtId="43" fontId="26" fillId="0" borderId="0" xfId="0" applyNumberFormat="1" applyFont="1" applyAlignment="1">
      <alignment/>
    </xf>
    <xf numFmtId="4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32" fillId="0" borderId="17" xfId="0" applyFont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33" fillId="0" borderId="23" xfId="0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>
      <alignment wrapText="1"/>
    </xf>
    <xf numFmtId="0" fontId="33" fillId="34" borderId="24" xfId="0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/>
    </xf>
    <xf numFmtId="3" fontId="34" fillId="34" borderId="26" xfId="0" applyNumberFormat="1" applyFont="1" applyFill="1" applyBorder="1" applyAlignment="1" applyProtection="1">
      <alignment/>
      <protection locked="0"/>
    </xf>
    <xf numFmtId="172" fontId="2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2" borderId="10" xfId="0" applyNumberFormat="1" applyFont="1" applyFill="1" applyBorder="1" applyAlignment="1">
      <alignment wrapText="1"/>
    </xf>
    <xf numFmtId="3" fontId="22" fillId="32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wrapText="1"/>
    </xf>
    <xf numFmtId="3" fontId="21" fillId="32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9" fontId="22" fillId="0" borderId="0" xfId="57" applyFont="1" applyAlignment="1">
      <alignment vertical="center"/>
    </xf>
    <xf numFmtId="184" fontId="21" fillId="32" borderId="10" xfId="0" applyNumberFormat="1" applyFont="1" applyFill="1" applyBorder="1" applyAlignment="1">
      <alignment wrapText="1"/>
    </xf>
    <xf numFmtId="184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84" fontId="21" fillId="0" borderId="10" xfId="0" applyNumberFormat="1" applyFont="1" applyBorder="1" applyAlignment="1">
      <alignment horizontal="center" vertical="center"/>
    </xf>
    <xf numFmtId="171" fontId="22" fillId="0" borderId="0" xfId="60" applyFont="1" applyAlignment="1">
      <alignment vertical="center"/>
    </xf>
    <xf numFmtId="184" fontId="22" fillId="0" borderId="0" xfId="0" applyNumberFormat="1" applyFont="1" applyAlignment="1">
      <alignment vertical="center"/>
    </xf>
    <xf numFmtId="0" fontId="37" fillId="0" borderId="17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6" fillId="33" borderId="10" xfId="0" applyFont="1" applyFill="1" applyBorder="1" applyAlignment="1">
      <alignment/>
    </xf>
    <xf numFmtId="17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 wrapText="1"/>
    </xf>
    <xf numFmtId="49" fontId="26" fillId="33" borderId="10" xfId="0" applyNumberFormat="1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wrapText="1"/>
    </xf>
    <xf numFmtId="182" fontId="26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179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6" fillId="33" borderId="25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3" fontId="26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3" fontId="25" fillId="0" borderId="0" xfId="0" applyNumberFormat="1" applyFont="1" applyAlignment="1">
      <alignment/>
    </xf>
    <xf numFmtId="3" fontId="29" fillId="0" borderId="1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182" fontId="26" fillId="0" borderId="10" xfId="0" applyNumberFormat="1" applyFont="1" applyBorder="1" applyAlignment="1">
      <alignment wrapText="1"/>
    </xf>
    <xf numFmtId="182" fontId="26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10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1" fontId="21" fillId="32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9" fontId="21" fillId="32" borderId="10" xfId="57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4" fillId="0" borderId="10" xfId="57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0" fontId="45" fillId="0" borderId="10" xfId="57" applyNumberFormat="1" applyFont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center" wrapText="1"/>
    </xf>
    <xf numFmtId="9" fontId="43" fillId="32" borderId="10" xfId="57" applyFont="1" applyFill="1" applyBorder="1" applyAlignment="1">
      <alignment horizontal="center" vertical="center" wrapText="1"/>
    </xf>
    <xf numFmtId="3" fontId="46" fillId="34" borderId="26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2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wrapText="1"/>
    </xf>
    <xf numFmtId="203" fontId="22" fillId="0" borderId="10" xfId="0" applyNumberFormat="1" applyFont="1" applyBorder="1" applyAlignment="1">
      <alignment horizontal="center"/>
    </xf>
    <xf numFmtId="203" fontId="2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203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203" fontId="22" fillId="0" borderId="10" xfId="0" applyNumberFormat="1" applyFont="1" applyFill="1" applyBorder="1" applyAlignment="1">
      <alignment horizontal="center"/>
    </xf>
    <xf numFmtId="174" fontId="4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54" fillId="32" borderId="25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3" fontId="7" fillId="32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3" fontId="26" fillId="0" borderId="10" xfId="6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точки безубыточности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575"/>
          <c:w val="0.906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'9.Точка безубыточности'!$A$10</c:f>
              <c:strCache>
                <c:ptCount val="1"/>
                <c:pt idx="0">
                  <c:v>Валовый доход/Убыток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безубыточности'!$F$10:$N$10</c:f>
              <c:numCache/>
            </c:numRef>
          </c:val>
        </c:ser>
        <c:ser>
          <c:idx val="2"/>
          <c:order val="1"/>
          <c:tx>
            <c:strRef>
              <c:f>'9.Точка безубыточности'!$A$11</c:f>
              <c:strCache>
                <c:ptCount val="1"/>
                <c:pt idx="0">
                  <c:v>Операционные расходы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безубыточности'!$F$11:$N$11</c:f>
              <c:numCache/>
            </c:numRef>
          </c:val>
        </c:ser>
        <c:axId val="64878338"/>
        <c:axId val="47034131"/>
      </c:barChart>
      <c:lineChart>
        <c:grouping val="standard"/>
        <c:varyColors val="0"/>
        <c:ser>
          <c:idx val="1"/>
          <c:order val="2"/>
          <c:tx>
            <c:strRef>
              <c:f>'9.Точка безубыточности'!$A$13</c:f>
              <c:strCache>
                <c:ptCount val="1"/>
                <c:pt idx="0">
                  <c:v>Точка безубыточности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безубыточности'!$F$13:$N$13</c:f>
              <c:numCache/>
            </c:numRef>
          </c:val>
          <c:smooth val="0"/>
        </c:ser>
        <c:axId val="20653996"/>
        <c:axId val="51668237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 val="autoZero"/>
        <c:auto val="0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Валовый Доход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catAx>
        <c:axId val="20653996"/>
        <c:scaling>
          <c:orientation val="minMax"/>
        </c:scaling>
        <c:axPos val="b"/>
        <c:delete val="1"/>
        <c:majorTickMark val="out"/>
        <c:minorTickMark val="none"/>
        <c:tickLblPos val="nextTo"/>
        <c:crossAx val="51668237"/>
        <c:crosses val="autoZero"/>
        <c:auto val="0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Точка Безубыточности</a:t>
                </a:r>
              </a:p>
            </c:rich>
          </c:tx>
          <c:layout>
            <c:manualLayout>
              <c:xMode val="factor"/>
              <c:yMode val="factor"/>
              <c:x val="0.22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3996"/>
        <c:crosses val="max"/>
        <c:crossBetween val="between"/>
        <c:dispUnits/>
      </c:valAx>
      <c:spPr>
        <a:gradFill rotWithShape="1">
          <a:gsLst>
            <a:gs pos="0">
              <a:srgbClr val="007676"/>
            </a:gs>
            <a:gs pos="50000">
              <a:srgbClr val="00FFFF"/>
            </a:gs>
            <a:gs pos="100000">
              <a:srgbClr val="00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205"/>
          <c:w val="0.73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9</xdr:col>
      <xdr:colOff>295275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61925" y="2571750"/>
        <a:ext cx="7029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1\&#1052;&#1086;&#1080;%20&#1076;&#1086;&#1082;&#1091;&#1084;&#1077;&#1085;&#1090;&#1099;\&#1050;&#1083;&#1080;&#1077;&#1085;&#1090;&#1099;\&#1041;&#1072;&#1090;&#1099;&#1088;%20&#1040;&#1075;&#1088;&#1086;&#1082;&#1077;&#1084;&#1080;&#1082;&#1072;&#1083;&#1079;-&#1087;&#1077;&#1089;&#1090;&#1080;&#1094;&#1080;&#1076;&#1099;\&#1041;&#1080;&#1079;&#1085;&#1077;&#1089;%20&#1087;&#1083;&#1072;&#1085;%20&#1041;&#1072;&#1090;&#1099;&#1088;\Invest_project_1_8%20&#8470;%20&#1041;&#1040;&#1058;&#1067;&#1056;%20&#1055;&#1045;&#1057;&#1057;&#1048;&#1052;&#1048;&#1057;&#1058;&#1048;&#1063;&#1053;&#1067;&#104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I"/>
      <sheetName val="Report"/>
      <sheetName val="Data-in"/>
      <sheetName val="Balance"/>
      <sheetName val="Results"/>
      <sheetName val="Sensivity"/>
      <sheetName val="Kredit"/>
      <sheetName val="NPV"/>
      <sheetName val="Break-even"/>
      <sheetName val="Liquidity"/>
      <sheetName val="Profitability"/>
      <sheetName val="Activity"/>
      <sheetName val="Assets"/>
      <sheetName val="Sens"/>
      <sheetName val="esn"/>
    </sheetNames>
    <sheetDataSet>
      <sheetData sheetId="2">
        <row r="1381">
          <cell r="B1381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4.7109375" style="108" customWidth="1"/>
    <col min="2" max="2" width="31.00390625" style="108" customWidth="1"/>
    <col min="3" max="16384" width="9.140625" style="108" customWidth="1"/>
  </cols>
  <sheetData>
    <row r="1" spans="1:2" ht="16.5">
      <c r="A1" s="254" t="s">
        <v>164</v>
      </c>
      <c r="B1" s="254"/>
    </row>
    <row r="2" ht="16.5">
      <c r="A2" s="110"/>
    </row>
    <row r="3" spans="1:2" ht="16.5">
      <c r="A3" s="112" t="s">
        <v>162</v>
      </c>
      <c r="B3" s="112" t="s">
        <v>163</v>
      </c>
    </row>
    <row r="4" spans="1:2" ht="16.5">
      <c r="A4" s="109" t="str">
        <f>'1.График (гориз)'!B3</f>
        <v>График погашения кредитных средств по месяцам </v>
      </c>
      <c r="B4" s="189" t="s">
        <v>148</v>
      </c>
    </row>
    <row r="5" spans="1:2" ht="16.5">
      <c r="A5" s="109" t="str">
        <f>'2.Персонал'!A3</f>
        <v>Штатное расписание</v>
      </c>
      <c r="B5" s="189" t="s">
        <v>149</v>
      </c>
    </row>
    <row r="6" spans="1:2" ht="16.5">
      <c r="A6" s="109" t="str">
        <f>'3.Выручка'!A3</f>
        <v>Расчет доходной части проекта</v>
      </c>
      <c r="B6" s="189" t="s">
        <v>150</v>
      </c>
    </row>
    <row r="7" spans="1:2" ht="16.5">
      <c r="A7" s="109" t="str">
        <f>'4.Себестоимость'!A3</f>
        <v>Себестоимость предоставляемых услуг</v>
      </c>
      <c r="B7" s="189" t="s">
        <v>151</v>
      </c>
    </row>
    <row r="8" spans="1:2" ht="16.5">
      <c r="A8" s="109" t="str">
        <f>'5.Затраты'!A3</f>
        <v>Текущие затраты</v>
      </c>
      <c r="B8" s="189" t="s">
        <v>154</v>
      </c>
    </row>
    <row r="9" spans="1:2" ht="16.5" hidden="1">
      <c r="A9" s="109" t="e">
        <f>#REF!</f>
        <v>#REF!</v>
      </c>
      <c r="B9" s="189" t="s">
        <v>155</v>
      </c>
    </row>
    <row r="10" spans="1:2" ht="16.5">
      <c r="A10" s="109" t="str">
        <f>'6.ОПУ'!A3</f>
        <v>Отчет о прибылях  убытках, в тенге</v>
      </c>
      <c r="B10" s="189" t="s">
        <v>156</v>
      </c>
    </row>
    <row r="11" spans="1:2" ht="16.5">
      <c r="A11" s="109" t="str">
        <f>'7.CF'!A3</f>
        <v>Прогноз отчета о движении денежных средств</v>
      </c>
      <c r="B11" s="189" t="s">
        <v>159</v>
      </c>
    </row>
    <row r="12" spans="1:2" ht="16.5">
      <c r="A12" s="109" t="str">
        <f>'8.Эффективность'!A3</f>
        <v>Экономическая эффективность проекта</v>
      </c>
      <c r="B12" s="189" t="s">
        <v>160</v>
      </c>
    </row>
    <row r="13" spans="1:2" ht="16.5">
      <c r="A13" s="109" t="str">
        <f>'9.Точка безубыточности'!A3</f>
        <v>Расчет точки безубыточности</v>
      </c>
      <c r="B13" s="189" t="s">
        <v>161</v>
      </c>
    </row>
  </sheetData>
  <sheetProtection/>
  <mergeCells count="1">
    <mergeCell ref="A1:B1"/>
  </mergeCells>
  <hyperlinks>
    <hyperlink ref="B4" location="'1.График (гориз)'!A1" display="'1.График (гориз)'!A1"/>
    <hyperlink ref="B5" location="'2.Персонал'!A1" display="'2.Персонал'!A1"/>
    <hyperlink ref="B6" location="'3.Выручка'!A1" display="'3.Выручка'!A1"/>
    <hyperlink ref="B7" location="'4.Себестоимость'!A1" display="'4.Себестоимость'!A1"/>
    <hyperlink ref="B8" location="'5.Затраты'!A1" display="'5.Затраты'!A1"/>
    <hyperlink ref="B9" location="'6.Амортизация'!A1" display="'6.Амортизация'!A1"/>
    <hyperlink ref="B10" location="'7.ОПУ'!A1" display="'7.ОПУ'!A1"/>
    <hyperlink ref="B11" location="'8.CF'!A1" display="'8.CF'!A1"/>
    <hyperlink ref="B12" location="'9.Эффективность'!A1" display="'9.Эффективность'!A1"/>
    <hyperlink ref="B13" location="'10.ТОЧКА БЕЗУБЫТОЧНОСТИ'!A1" display="'10.ТОЧКА БЕЗУБЫТОЧНОСТИ'!A1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zoomScalePageLayoutView="0" workbookViewId="0" topLeftCell="A61">
      <selection activeCell="G56" sqref="G56"/>
    </sheetView>
  </sheetViews>
  <sheetFormatPr defaultColWidth="9.140625" defaultRowHeight="12.75"/>
  <cols>
    <col min="1" max="1" width="9.140625" style="92" customWidth="1"/>
    <col min="2" max="2" width="15.8515625" style="92" customWidth="1"/>
    <col min="3" max="3" width="15.7109375" style="92" customWidth="1"/>
    <col min="4" max="4" width="16.8515625" style="92" customWidth="1"/>
    <col min="5" max="5" width="15.00390625" style="92" bestFit="1" customWidth="1"/>
    <col min="6" max="7" width="11.140625" style="92" bestFit="1" customWidth="1"/>
    <col min="8" max="11" width="13.421875" style="92" bestFit="1" customWidth="1"/>
    <col min="12" max="12" width="11.7109375" style="92" bestFit="1" customWidth="1"/>
    <col min="13" max="16384" width="9.140625" style="92" customWidth="1"/>
  </cols>
  <sheetData>
    <row r="1" ht="15.75">
      <c r="A1" s="91"/>
    </row>
    <row r="2" ht="10.5" customHeight="1"/>
    <row r="3" ht="15.75">
      <c r="A3" s="93" t="s">
        <v>25</v>
      </c>
    </row>
    <row r="4" ht="10.5" customHeight="1"/>
    <row r="5" ht="15.75">
      <c r="A5" s="159" t="s">
        <v>26</v>
      </c>
    </row>
    <row r="6" ht="9.75" customHeight="1"/>
    <row r="7" ht="15.75">
      <c r="A7" s="92" t="s">
        <v>282</v>
      </c>
    </row>
    <row r="8" ht="9.75" customHeight="1"/>
    <row r="9" spans="1:5" ht="15.75">
      <c r="A9" s="263" t="s">
        <v>124</v>
      </c>
      <c r="B9" s="263"/>
      <c r="C9" s="263"/>
      <c r="D9" s="263"/>
      <c r="E9" s="92">
        <v>0.12</v>
      </c>
    </row>
    <row r="10" spans="2:12" ht="15.75">
      <c r="B10" s="160" t="s">
        <v>27</v>
      </c>
      <c r="C10" s="160" t="s">
        <v>28</v>
      </c>
      <c r="D10" s="160" t="s">
        <v>29</v>
      </c>
      <c r="E10" s="160" t="s">
        <v>30</v>
      </c>
      <c r="F10" s="160" t="s">
        <v>31</v>
      </c>
      <c r="G10" s="160" t="s">
        <v>32</v>
      </c>
      <c r="H10" s="160" t="s">
        <v>120</v>
      </c>
      <c r="I10" s="160" t="s">
        <v>122</v>
      </c>
      <c r="J10" s="160" t="s">
        <v>142</v>
      </c>
      <c r="K10" s="160" t="s">
        <v>143</v>
      </c>
      <c r="L10" s="160" t="s">
        <v>144</v>
      </c>
    </row>
    <row r="11" spans="2:12" ht="18.75">
      <c r="B11" s="115" t="s">
        <v>170</v>
      </c>
      <c r="C11" s="161">
        <f>1/((1+E9)^1)</f>
        <v>0.8928571428571428</v>
      </c>
      <c r="D11" s="161">
        <f>1/((1+E9)^2)</f>
        <v>0.7971938775510203</v>
      </c>
      <c r="E11" s="161">
        <f>1/((1+E9)^3)</f>
        <v>0.7117802478134109</v>
      </c>
      <c r="F11" s="161">
        <f>1/((1+E9)^4)</f>
        <v>0.6355180784048312</v>
      </c>
      <c r="G11" s="161">
        <f>1/((1+E9)^5)</f>
        <v>0.5674268557185992</v>
      </c>
      <c r="H11" s="161">
        <f>1/((1+E9)^6)</f>
        <v>0.5066311211773207</v>
      </c>
      <c r="I11" s="161">
        <f>1/((1+E9)^7)</f>
        <v>0.45234921533689343</v>
      </c>
      <c r="J11" s="161">
        <f>1/((1+E9)^8)</f>
        <v>0.4038832279793691</v>
      </c>
      <c r="K11" s="161">
        <f>1/((1+E9)^9)</f>
        <v>0.36061002498157957</v>
      </c>
      <c r="L11" s="161">
        <f>1/((1+E9)^10)</f>
        <v>0.321973236590696</v>
      </c>
    </row>
    <row r="13" ht="15.75">
      <c r="A13" s="92" t="s">
        <v>33</v>
      </c>
    </row>
    <row r="14" spans="2:5" s="162" customFormat="1" ht="49.5" customHeight="1">
      <c r="B14" s="163" t="s">
        <v>5</v>
      </c>
      <c r="C14" s="163" t="s">
        <v>34</v>
      </c>
      <c r="D14" s="163" t="s">
        <v>35</v>
      </c>
      <c r="E14" s="164" t="s">
        <v>36</v>
      </c>
    </row>
    <row r="15" spans="2:5" ht="15.75">
      <c r="B15" s="115" t="s">
        <v>37</v>
      </c>
      <c r="C15" s="99">
        <f>'7.CF'!B31+'7.CF'!C31</f>
        <v>0</v>
      </c>
      <c r="D15" s="115">
        <v>1</v>
      </c>
      <c r="E15" s="101">
        <f aca="true" t="shared" si="0" ref="E15:E25">C15*D15</f>
        <v>0</v>
      </c>
    </row>
    <row r="16" spans="2:5" ht="15.75">
      <c r="B16" s="115" t="s">
        <v>28</v>
      </c>
      <c r="C16" s="101">
        <f>'6.ОПУ'!N31</f>
        <v>3293793.6</v>
      </c>
      <c r="D16" s="165">
        <f>C11</f>
        <v>0.8928571428571428</v>
      </c>
      <c r="E16" s="101">
        <f>C16*D16</f>
        <v>2940887.1428571427</v>
      </c>
    </row>
    <row r="17" spans="2:5" ht="15.75">
      <c r="B17" s="115" t="s">
        <v>29</v>
      </c>
      <c r="C17" s="101">
        <f>'6.ОПУ'!O31</f>
        <v>11274221.472</v>
      </c>
      <c r="D17" s="165">
        <f>D11</f>
        <v>0.7971938775510203</v>
      </c>
      <c r="E17" s="101">
        <f t="shared" si="0"/>
        <v>8987740.331632651</v>
      </c>
    </row>
    <row r="18" spans="2:5" ht="15.75">
      <c r="B18" s="115" t="s">
        <v>30</v>
      </c>
      <c r="C18" s="101">
        <f>'6.ОПУ'!P31</f>
        <v>12954621.90144</v>
      </c>
      <c r="D18" s="165">
        <f>E11</f>
        <v>0.7117802478134109</v>
      </c>
      <c r="E18" s="101">
        <f t="shared" si="0"/>
        <v>9220843.987336004</v>
      </c>
    </row>
    <row r="19" spans="2:9" ht="15.75">
      <c r="B19" s="115" t="s">
        <v>31</v>
      </c>
      <c r="C19" s="101">
        <f>'6.ОПУ'!Q31</f>
        <v>14770474.459468791</v>
      </c>
      <c r="D19" s="165">
        <f>F11</f>
        <v>0.6355180784048312</v>
      </c>
      <c r="E19" s="101">
        <f t="shared" si="0"/>
        <v>9386903.545609245</v>
      </c>
      <c r="F19" s="94"/>
      <c r="G19" s="94"/>
      <c r="I19" s="92">
        <f>6.2*0.3</f>
        <v>1.8599999999999999</v>
      </c>
    </row>
    <row r="20" spans="2:9" ht="15.75">
      <c r="B20" s="115" t="s">
        <v>32</v>
      </c>
      <c r="C20" s="101">
        <f>'6.ОПУ'!R31</f>
        <v>16731617.277058166</v>
      </c>
      <c r="D20" s="165">
        <f>G11</f>
        <v>0.5674268557185992</v>
      </c>
      <c r="E20" s="101">
        <f t="shared" si="0"/>
        <v>9493968.982608106</v>
      </c>
      <c r="I20" s="92">
        <f>I19-6.2</f>
        <v>-4.34</v>
      </c>
    </row>
    <row r="21" spans="2:5" ht="15.75">
      <c r="B21" s="115" t="s">
        <v>120</v>
      </c>
      <c r="C21" s="101">
        <f>'6.ОПУ'!S31</f>
        <v>18848584.283987336</v>
      </c>
      <c r="D21" s="165">
        <f>H11</f>
        <v>0.5066311211773207</v>
      </c>
      <c r="E21" s="101">
        <f t="shared" si="0"/>
        <v>9549279.38840173</v>
      </c>
    </row>
    <row r="22" spans="2:5" ht="15.75">
      <c r="B22" s="115" t="s">
        <v>122</v>
      </c>
      <c r="C22" s="101">
        <f>'6.ОПУ'!T31</f>
        <v>21132654.057352237</v>
      </c>
      <c r="D22" s="165">
        <f>I11</f>
        <v>0.45234921533689343</v>
      </c>
      <c r="E22" s="101">
        <f t="shared" si="0"/>
        <v>9559339.480829302</v>
      </c>
    </row>
    <row r="23" spans="2:5" ht="15.75">
      <c r="B23" s="115" t="s">
        <v>142</v>
      </c>
      <c r="C23" s="101">
        <f>'6.ОПУ'!U31</f>
        <v>23595902.0923224</v>
      </c>
      <c r="D23" s="165">
        <f>J11</f>
        <v>0.4038832279793691</v>
      </c>
      <c r="E23" s="101">
        <f t="shared" si="0"/>
        <v>9529989.10413232</v>
      </c>
    </row>
    <row r="24" spans="2:5" ht="15.75">
      <c r="B24" s="115" t="s">
        <v>143</v>
      </c>
      <c r="C24" s="101">
        <f>'6.ОПУ'!V31</f>
        <v>26251256.734759595</v>
      </c>
      <c r="D24" s="165">
        <f>K11</f>
        <v>0.36061002498157957</v>
      </c>
      <c r="E24" s="101">
        <f t="shared" si="0"/>
        <v>9466466.346919516</v>
      </c>
    </row>
    <row r="25" spans="2:5" ht="15.75">
      <c r="B25" s="115" t="s">
        <v>144</v>
      </c>
      <c r="C25" s="101">
        <f>'6.ОПУ'!W31</f>
        <v>29112559.03208688</v>
      </c>
      <c r="D25" s="165">
        <f>L11</f>
        <v>0.321973236590696</v>
      </c>
      <c r="E25" s="101">
        <f t="shared" si="0"/>
        <v>9373464.856998712</v>
      </c>
    </row>
    <row r="26" spans="2:5" ht="15.75">
      <c r="B26" s="103" t="s">
        <v>36</v>
      </c>
      <c r="C26" s="99">
        <f>SUM(C16:C25)</f>
        <v>177965684.91047543</v>
      </c>
      <c r="D26" s="99"/>
      <c r="E26" s="99">
        <f>SUM(E15:E25)</f>
        <v>87508883.16732474</v>
      </c>
    </row>
    <row r="27" spans="2:5" ht="15.75">
      <c r="B27" s="113"/>
      <c r="C27" s="245">
        <f>SUM(C16:C23)</f>
        <v>122601869.14362895</v>
      </c>
      <c r="D27" s="113"/>
      <c r="E27" s="166"/>
    </row>
    <row r="28" spans="1:5" ht="15.75">
      <c r="A28" s="159" t="s">
        <v>38</v>
      </c>
      <c r="E28" s="95"/>
    </row>
    <row r="29" ht="15.75">
      <c r="A29" s="159"/>
    </row>
    <row r="30" ht="15.75">
      <c r="B30" s="92" t="s">
        <v>39</v>
      </c>
    </row>
    <row r="31" spans="4:10" ht="15.75">
      <c r="D31" s="167" t="s">
        <v>40</v>
      </c>
      <c r="E31" s="92">
        <v>0.9</v>
      </c>
      <c r="I31" s="167" t="s">
        <v>41</v>
      </c>
      <c r="J31" s="92">
        <v>1</v>
      </c>
    </row>
    <row r="32" spans="1:13" ht="15.75">
      <c r="A32" s="160" t="s">
        <v>27</v>
      </c>
      <c r="B32" s="160" t="s">
        <v>28</v>
      </c>
      <c r="C32" s="160" t="s">
        <v>29</v>
      </c>
      <c r="D32" s="160" t="s">
        <v>30</v>
      </c>
      <c r="E32" s="160" t="s">
        <v>31</v>
      </c>
      <c r="I32" s="160" t="s">
        <v>27</v>
      </c>
      <c r="J32" s="160" t="s">
        <v>28</v>
      </c>
      <c r="K32" s="160" t="s">
        <v>29</v>
      </c>
      <c r="L32" s="160" t="s">
        <v>30</v>
      </c>
      <c r="M32" s="160" t="s">
        <v>31</v>
      </c>
    </row>
    <row r="33" spans="1:13" ht="18.75">
      <c r="A33" s="115" t="s">
        <v>170</v>
      </c>
      <c r="B33" s="161">
        <f>1/((1+E31)^1)</f>
        <v>0.5263157894736842</v>
      </c>
      <c r="C33" s="161">
        <f>1/((1+E31)^2)</f>
        <v>0.2770083102493075</v>
      </c>
      <c r="D33" s="161">
        <f>1/((1+E31)^3)</f>
        <v>0.14579384749963553</v>
      </c>
      <c r="E33" s="161">
        <f>1/((1+E31)^4)</f>
        <v>0.07673360394717658</v>
      </c>
      <c r="F33" s="168"/>
      <c r="G33" s="168"/>
      <c r="I33" s="115" t="s">
        <v>170</v>
      </c>
      <c r="J33" s="161">
        <f>1/((1+J31)^1)</f>
        <v>0.5</v>
      </c>
      <c r="K33" s="161">
        <f>1/((1+J31)^2)</f>
        <v>0.25</v>
      </c>
      <c r="L33" s="161">
        <f>1/((1+J31)^3)</f>
        <v>0.125</v>
      </c>
      <c r="M33" s="161">
        <f>1/((1+J31)^4)</f>
        <v>0.0625</v>
      </c>
    </row>
    <row r="34" spans="1:15" ht="15.75">
      <c r="A34" s="160" t="s">
        <v>32</v>
      </c>
      <c r="B34" s="160" t="s">
        <v>120</v>
      </c>
      <c r="C34" s="160" t="s">
        <v>122</v>
      </c>
      <c r="D34" s="160" t="s">
        <v>142</v>
      </c>
      <c r="E34" s="160" t="s">
        <v>143</v>
      </c>
      <c r="F34" s="160" t="s">
        <v>144</v>
      </c>
      <c r="G34" s="168"/>
      <c r="H34" s="160" t="s">
        <v>32</v>
      </c>
      <c r="I34" s="160" t="s">
        <v>120</v>
      </c>
      <c r="J34" s="160" t="s">
        <v>122</v>
      </c>
      <c r="K34" s="160" t="s">
        <v>142</v>
      </c>
      <c r="L34" s="160" t="s">
        <v>143</v>
      </c>
      <c r="M34" s="160" t="s">
        <v>144</v>
      </c>
      <c r="N34" s="168"/>
      <c r="O34" s="168"/>
    </row>
    <row r="35" spans="1:15" ht="15.75">
      <c r="A35" s="161">
        <f>1/((1+E31)^5)</f>
        <v>0.04038610734061926</v>
      </c>
      <c r="B35" s="161">
        <f>1/((1+E31)^6)</f>
        <v>0.02125584596874698</v>
      </c>
      <c r="C35" s="161">
        <f>1/((1+E31)^7)</f>
        <v>0.011187287351972094</v>
      </c>
      <c r="D35" s="161">
        <f>1/((1+E31)^8)</f>
        <v>0.005888045974722154</v>
      </c>
      <c r="E35" s="161">
        <f>1/((1+E31)^9)</f>
        <v>0.0030989715656432396</v>
      </c>
      <c r="F35" s="161">
        <f>1/((1+E31)^10)</f>
        <v>0.0016310376661280207</v>
      </c>
      <c r="G35" s="168"/>
      <c r="H35" s="161">
        <f>1/((1+J31)^5)</f>
        <v>0.03125</v>
      </c>
      <c r="I35" s="161">
        <f>1/((1+J31)^6)</f>
        <v>0.015625</v>
      </c>
      <c r="J35" s="161">
        <f>1/((1+J31)^7)</f>
        <v>0.0078125</v>
      </c>
      <c r="K35" s="161">
        <f>1/((1+J31)^8)</f>
        <v>0.00390625</v>
      </c>
      <c r="L35" s="161">
        <f>1/((1+J31)^9)</f>
        <v>0.001953125</v>
      </c>
      <c r="M35" s="161">
        <f>1/((1+J31)^10)</f>
        <v>0.0009765625</v>
      </c>
      <c r="N35" s="168"/>
      <c r="O35" s="168"/>
    </row>
    <row r="38" spans="2:10" ht="63">
      <c r="B38" s="163" t="s">
        <v>5</v>
      </c>
      <c r="C38" s="163" t="s">
        <v>34</v>
      </c>
      <c r="D38" s="163" t="s">
        <v>35</v>
      </c>
      <c r="E38" s="164" t="s">
        <v>36</v>
      </c>
      <c r="G38" s="163" t="s">
        <v>5</v>
      </c>
      <c r="H38" s="163" t="s">
        <v>34</v>
      </c>
      <c r="I38" s="163" t="s">
        <v>35</v>
      </c>
      <c r="J38" s="164" t="s">
        <v>36</v>
      </c>
    </row>
    <row r="39" spans="2:10" ht="15.75">
      <c r="B39" s="115" t="s">
        <v>37</v>
      </c>
      <c r="C39" s="101">
        <f>C15</f>
        <v>0</v>
      </c>
      <c r="D39" s="115">
        <v>1</v>
      </c>
      <c r="E39" s="101">
        <f aca="true" t="shared" si="1" ref="E39:E49">C39*D39</f>
        <v>0</v>
      </c>
      <c r="G39" s="115" t="s">
        <v>37</v>
      </c>
      <c r="H39" s="101">
        <f aca="true" t="shared" si="2" ref="H39:H45">C15</f>
        <v>0</v>
      </c>
      <c r="I39" s="115">
        <v>1</v>
      </c>
      <c r="J39" s="101">
        <f aca="true" t="shared" si="3" ref="J39:J49">H39*I39</f>
        <v>0</v>
      </c>
    </row>
    <row r="40" spans="2:10" ht="15.75">
      <c r="B40" s="115" t="s">
        <v>28</v>
      </c>
      <c r="C40" s="101">
        <f aca="true" t="shared" si="4" ref="C40:C49">C16</f>
        <v>3293793.6</v>
      </c>
      <c r="D40" s="161">
        <f>B33</f>
        <v>0.5263157894736842</v>
      </c>
      <c r="E40" s="101">
        <f>C40*D40</f>
        <v>1733575.5789473683</v>
      </c>
      <c r="G40" s="115" t="s">
        <v>28</v>
      </c>
      <c r="H40" s="101">
        <f t="shared" si="2"/>
        <v>3293793.6</v>
      </c>
      <c r="I40" s="161">
        <f>J33</f>
        <v>0.5</v>
      </c>
      <c r="J40" s="101">
        <f t="shared" si="3"/>
        <v>1646896.8</v>
      </c>
    </row>
    <row r="41" spans="2:10" ht="15.75">
      <c r="B41" s="115" t="s">
        <v>29</v>
      </c>
      <c r="C41" s="101">
        <f t="shared" si="4"/>
        <v>11274221.472</v>
      </c>
      <c r="D41" s="161">
        <f>C33</f>
        <v>0.2770083102493075</v>
      </c>
      <c r="E41" s="101">
        <f t="shared" si="1"/>
        <v>3123053.03933518</v>
      </c>
      <c r="G41" s="115" t="s">
        <v>29</v>
      </c>
      <c r="H41" s="101">
        <f t="shared" si="2"/>
        <v>11274221.472</v>
      </c>
      <c r="I41" s="161">
        <f>K33</f>
        <v>0.25</v>
      </c>
      <c r="J41" s="101">
        <f t="shared" si="3"/>
        <v>2818555.368</v>
      </c>
    </row>
    <row r="42" spans="2:10" ht="15.75">
      <c r="B42" s="115" t="s">
        <v>30</v>
      </c>
      <c r="C42" s="101">
        <f t="shared" si="4"/>
        <v>12954621.90144</v>
      </c>
      <c r="D42" s="161">
        <f>D33</f>
        <v>0.14579384749963553</v>
      </c>
      <c r="E42" s="101">
        <f t="shared" si="1"/>
        <v>1888704.1699139818</v>
      </c>
      <c r="G42" s="115" t="s">
        <v>30</v>
      </c>
      <c r="H42" s="101">
        <f t="shared" si="2"/>
        <v>12954621.90144</v>
      </c>
      <c r="I42" s="161">
        <f>L33</f>
        <v>0.125</v>
      </c>
      <c r="J42" s="101">
        <f t="shared" si="3"/>
        <v>1619327.73768</v>
      </c>
    </row>
    <row r="43" spans="2:10" ht="15.75">
      <c r="B43" s="115" t="s">
        <v>31</v>
      </c>
      <c r="C43" s="101">
        <f t="shared" si="4"/>
        <v>14770474.459468791</v>
      </c>
      <c r="D43" s="161">
        <f>E33</f>
        <v>0.07673360394717658</v>
      </c>
      <c r="E43" s="101">
        <f t="shared" si="1"/>
        <v>1133391.7372847653</v>
      </c>
      <c r="G43" s="115" t="s">
        <v>31</v>
      </c>
      <c r="H43" s="101">
        <f t="shared" si="2"/>
        <v>14770474.459468791</v>
      </c>
      <c r="I43" s="161">
        <f>M33</f>
        <v>0.0625</v>
      </c>
      <c r="J43" s="101">
        <f t="shared" si="3"/>
        <v>923154.6537167995</v>
      </c>
    </row>
    <row r="44" spans="2:10" ht="15.75">
      <c r="B44" s="115" t="s">
        <v>32</v>
      </c>
      <c r="C44" s="101">
        <f t="shared" si="4"/>
        <v>16731617.277058166</v>
      </c>
      <c r="D44" s="161">
        <f>A35</f>
        <v>0.04038610734061926</v>
      </c>
      <c r="E44" s="101">
        <f t="shared" si="1"/>
        <v>675724.8913334308</v>
      </c>
      <c r="G44" s="115" t="s">
        <v>32</v>
      </c>
      <c r="H44" s="101">
        <f t="shared" si="2"/>
        <v>16731617.277058166</v>
      </c>
      <c r="I44" s="161">
        <f>H35</f>
        <v>0.03125</v>
      </c>
      <c r="J44" s="101">
        <f t="shared" si="3"/>
        <v>522863.0399080677</v>
      </c>
    </row>
    <row r="45" spans="2:10" ht="15.75">
      <c r="B45" s="115" t="s">
        <v>120</v>
      </c>
      <c r="C45" s="101">
        <f t="shared" si="4"/>
        <v>18848584.283987336</v>
      </c>
      <c r="D45" s="161">
        <f>B35</f>
        <v>0.02125584596874698</v>
      </c>
      <c r="E45" s="101">
        <f t="shared" si="1"/>
        <v>400642.6042693799</v>
      </c>
      <c r="G45" s="115" t="s">
        <v>120</v>
      </c>
      <c r="H45" s="101">
        <f t="shared" si="2"/>
        <v>18848584.283987336</v>
      </c>
      <c r="I45" s="161">
        <f>I35</f>
        <v>0.015625</v>
      </c>
      <c r="J45" s="101">
        <f t="shared" si="3"/>
        <v>294509.1294373021</v>
      </c>
    </row>
    <row r="46" spans="2:10" ht="15.75">
      <c r="B46" s="115" t="s">
        <v>122</v>
      </c>
      <c r="C46" s="101">
        <f t="shared" si="4"/>
        <v>21132654.057352237</v>
      </c>
      <c r="D46" s="161">
        <f>C35</f>
        <v>0.011187287351972094</v>
      </c>
      <c r="E46" s="101">
        <f t="shared" si="1"/>
        <v>236417.07344941844</v>
      </c>
      <c r="G46" s="115" t="s">
        <v>122</v>
      </c>
      <c r="H46" s="101">
        <f>C22</f>
        <v>21132654.057352237</v>
      </c>
      <c r="I46" s="161">
        <f>J35</f>
        <v>0.0078125</v>
      </c>
      <c r="J46" s="101">
        <f t="shared" si="3"/>
        <v>165098.85982306435</v>
      </c>
    </row>
    <row r="47" spans="2:10" ht="15.75">
      <c r="B47" s="115" t="s">
        <v>142</v>
      </c>
      <c r="C47" s="101">
        <f t="shared" si="4"/>
        <v>23595902.0923224</v>
      </c>
      <c r="D47" s="161">
        <f>D35</f>
        <v>0.005888045974722154</v>
      </c>
      <c r="E47" s="101">
        <f t="shared" si="1"/>
        <v>138933.75633463697</v>
      </c>
      <c r="G47" s="115" t="s">
        <v>142</v>
      </c>
      <c r="H47" s="101">
        <f>C23</f>
        <v>23595902.0923224</v>
      </c>
      <c r="I47" s="161">
        <f>K35</f>
        <v>0.00390625</v>
      </c>
      <c r="J47" s="101">
        <f t="shared" si="3"/>
        <v>92171.49254813438</v>
      </c>
    </row>
    <row r="48" spans="2:10" ht="15.75">
      <c r="B48" s="115" t="s">
        <v>143</v>
      </c>
      <c r="C48" s="101">
        <f t="shared" si="4"/>
        <v>26251256.734759595</v>
      </c>
      <c r="D48" s="161">
        <f>E35</f>
        <v>0.0030989715656432396</v>
      </c>
      <c r="E48" s="101">
        <f t="shared" si="1"/>
        <v>81351.89818342058</v>
      </c>
      <c r="G48" s="115" t="s">
        <v>143</v>
      </c>
      <c r="H48" s="101">
        <f>C24</f>
        <v>26251256.734759595</v>
      </c>
      <c r="I48" s="161">
        <f>L35</f>
        <v>0.001953125</v>
      </c>
      <c r="J48" s="101">
        <f t="shared" si="3"/>
        <v>51271.985810077334</v>
      </c>
    </row>
    <row r="49" spans="2:10" ht="15.75">
      <c r="B49" s="115" t="s">
        <v>144</v>
      </c>
      <c r="C49" s="101">
        <f t="shared" si="4"/>
        <v>29112559.03208688</v>
      </c>
      <c r="D49" s="161">
        <f>F35</f>
        <v>0.0016310376661280207</v>
      </c>
      <c r="E49" s="101">
        <f t="shared" si="1"/>
        <v>47483.680338709215</v>
      </c>
      <c r="G49" s="115" t="s">
        <v>144</v>
      </c>
      <c r="H49" s="101">
        <f>C25</f>
        <v>29112559.03208688</v>
      </c>
      <c r="I49" s="161">
        <f>M35</f>
        <v>0.0009765625</v>
      </c>
      <c r="J49" s="101">
        <f t="shared" si="3"/>
        <v>28430.233429772343</v>
      </c>
    </row>
    <row r="50" spans="2:10" s="225" customFormat="1" ht="15.75">
      <c r="B50" s="226" t="s">
        <v>42</v>
      </c>
      <c r="C50" s="226"/>
      <c r="D50" s="226"/>
      <c r="E50" s="226">
        <f>SUM(E39:E49)</f>
        <v>9459278.429390289</v>
      </c>
      <c r="G50" s="226" t="s">
        <v>43</v>
      </c>
      <c r="H50" s="226"/>
      <c r="I50" s="226"/>
      <c r="J50" s="226">
        <f>SUM(J39:J49)</f>
        <v>8162279.300353218</v>
      </c>
    </row>
    <row r="51" ht="15.75">
      <c r="E51" s="169"/>
    </row>
    <row r="52" ht="15.75">
      <c r="E52" s="169"/>
    </row>
    <row r="53" spans="2:5" ht="15.75">
      <c r="B53" s="93"/>
      <c r="E53" s="169"/>
    </row>
    <row r="54" spans="3:5" ht="15.75">
      <c r="C54" s="93"/>
      <c r="E54" s="170"/>
    </row>
    <row r="55" spans="2:4" ht="15.75">
      <c r="B55" s="171" t="s">
        <v>44</v>
      </c>
      <c r="C55" s="172">
        <f>25%</f>
        <v>0.25</v>
      </c>
      <c r="D55" s="93" t="s">
        <v>45</v>
      </c>
    </row>
    <row r="58" ht="15.75">
      <c r="A58" s="159" t="s">
        <v>46</v>
      </c>
    </row>
    <row r="59" ht="15.75">
      <c r="G59" s="92" t="s">
        <v>47</v>
      </c>
    </row>
    <row r="60" spans="2:10" ht="15.75">
      <c r="B60" s="173"/>
      <c r="C60" s="174" t="s">
        <v>48</v>
      </c>
      <c r="D60" s="175"/>
      <c r="E60" s="175"/>
      <c r="F60" s="175"/>
      <c r="G60" s="176"/>
      <c r="H60" s="177"/>
      <c r="I60" s="177"/>
      <c r="J60" s="177"/>
    </row>
    <row r="61" spans="2:10" ht="15.75">
      <c r="B61" s="173"/>
      <c r="C61" s="178" t="s">
        <v>37</v>
      </c>
      <c r="D61" s="178" t="s">
        <v>28</v>
      </c>
      <c r="E61" s="178" t="s">
        <v>29</v>
      </c>
      <c r="F61" s="178" t="s">
        <v>30</v>
      </c>
      <c r="G61" s="178" t="s">
        <v>31</v>
      </c>
      <c r="H61" s="160" t="s">
        <v>32</v>
      </c>
      <c r="I61" s="160" t="s">
        <v>120</v>
      </c>
      <c r="J61" s="160" t="s">
        <v>122</v>
      </c>
    </row>
    <row r="62" spans="2:10" s="94" customFormat="1" ht="15.75">
      <c r="B62" s="179" t="s">
        <v>49</v>
      </c>
      <c r="C62" s="101">
        <f>C15/1000</f>
        <v>0</v>
      </c>
      <c r="D62" s="101"/>
      <c r="E62" s="101"/>
      <c r="F62" s="101"/>
      <c r="G62" s="101"/>
      <c r="H62" s="101"/>
      <c r="I62" s="101"/>
      <c r="J62" s="101"/>
    </row>
    <row r="63" spans="2:10" s="94" customFormat="1" ht="15.75">
      <c r="B63" s="179" t="s">
        <v>50</v>
      </c>
      <c r="C63" s="101"/>
      <c r="D63" s="101">
        <f>C40/1000</f>
        <v>3293.7936</v>
      </c>
      <c r="E63" s="101">
        <f>C41/1000</f>
        <v>11274.221472</v>
      </c>
      <c r="F63" s="101">
        <f>C42/1000</f>
        <v>12954.62190144</v>
      </c>
      <c r="G63" s="101">
        <f>C43/1000</f>
        <v>14770.47445946879</v>
      </c>
      <c r="H63" s="101">
        <f>C44/1000</f>
        <v>16731.617277058165</v>
      </c>
      <c r="I63" s="101">
        <f>C45/1000</f>
        <v>18848.584283987337</v>
      </c>
      <c r="J63" s="101">
        <f>C46/1000</f>
        <v>21132.654057352236</v>
      </c>
    </row>
    <row r="64" spans="2:10" s="94" customFormat="1" ht="31.5">
      <c r="B64" s="179" t="s">
        <v>51</v>
      </c>
      <c r="D64" s="101"/>
      <c r="E64" s="101"/>
      <c r="F64" s="101"/>
      <c r="G64" s="101"/>
      <c r="H64" s="101"/>
      <c r="I64" s="101"/>
      <c r="J64" s="101"/>
    </row>
    <row r="65" spans="2:10" s="181" customFormat="1" ht="31.5">
      <c r="B65" s="180" t="s">
        <v>52</v>
      </c>
      <c r="C65" s="99">
        <f aca="true" t="shared" si="5" ref="C65:J65">SUM(C62:C64)</f>
        <v>0</v>
      </c>
      <c r="D65" s="99">
        <f t="shared" si="5"/>
        <v>3293.7936</v>
      </c>
      <c r="E65" s="99">
        <f t="shared" si="5"/>
        <v>11274.221472</v>
      </c>
      <c r="F65" s="99">
        <f t="shared" si="5"/>
        <v>12954.62190144</v>
      </c>
      <c r="G65" s="99">
        <f t="shared" si="5"/>
        <v>14770.47445946879</v>
      </c>
      <c r="H65" s="99">
        <f t="shared" si="5"/>
        <v>16731.617277058165</v>
      </c>
      <c r="I65" s="99">
        <f t="shared" si="5"/>
        <v>18848.584283987337</v>
      </c>
      <c r="J65" s="99">
        <f t="shared" si="5"/>
        <v>21132.654057352236</v>
      </c>
    </row>
    <row r="66" spans="2:10" s="183" customFormat="1" ht="47.25">
      <c r="B66" s="182" t="s">
        <v>53</v>
      </c>
      <c r="C66" s="116">
        <f>C65</f>
        <v>0</v>
      </c>
      <c r="D66" s="116">
        <f>C66+D65</f>
        <v>3293.7936</v>
      </c>
      <c r="E66" s="116">
        <f aca="true" t="shared" si="6" ref="E66:J66">D66+E65</f>
        <v>14568.015071999998</v>
      </c>
      <c r="F66" s="116">
        <f t="shared" si="6"/>
        <v>27522.63697344</v>
      </c>
      <c r="G66" s="116">
        <f t="shared" si="6"/>
        <v>42293.11143290879</v>
      </c>
      <c r="H66" s="116">
        <f t="shared" si="6"/>
        <v>59024.72870996695</v>
      </c>
      <c r="I66" s="116">
        <f t="shared" si="6"/>
        <v>77873.31299395429</v>
      </c>
      <c r="J66" s="116">
        <f t="shared" si="6"/>
        <v>99005.96705130652</v>
      </c>
    </row>
    <row r="67" spans="2:10" s="185" customFormat="1" ht="63">
      <c r="B67" s="184" t="s">
        <v>54</v>
      </c>
      <c r="C67" s="165">
        <v>1</v>
      </c>
      <c r="D67" s="165">
        <f aca="true" t="shared" si="7" ref="D67:J67">C11</f>
        <v>0.8928571428571428</v>
      </c>
      <c r="E67" s="165">
        <f t="shared" si="7"/>
        <v>0.7971938775510203</v>
      </c>
      <c r="F67" s="165">
        <f t="shared" si="7"/>
        <v>0.7117802478134109</v>
      </c>
      <c r="G67" s="165">
        <f t="shared" si="7"/>
        <v>0.6355180784048312</v>
      </c>
      <c r="H67" s="165">
        <f t="shared" si="7"/>
        <v>0.5674268557185992</v>
      </c>
      <c r="I67" s="165">
        <f t="shared" si="7"/>
        <v>0.5066311211773207</v>
      </c>
      <c r="J67" s="165">
        <f t="shared" si="7"/>
        <v>0.45234921533689343</v>
      </c>
    </row>
    <row r="68" spans="2:10" s="181" customFormat="1" ht="47.25">
      <c r="B68" s="180" t="s">
        <v>55</v>
      </c>
      <c r="C68" s="99">
        <f>C65*C67</f>
        <v>0</v>
      </c>
      <c r="D68" s="99">
        <f>D65*D67</f>
        <v>2940.8871428571424</v>
      </c>
      <c r="E68" s="99">
        <f aca="true" t="shared" si="8" ref="E68:J68">E65*E67</f>
        <v>8987.74033163265</v>
      </c>
      <c r="F68" s="99">
        <f t="shared" si="8"/>
        <v>9220.843987336002</v>
      </c>
      <c r="G68" s="99">
        <f t="shared" si="8"/>
        <v>9386.903545609244</v>
      </c>
      <c r="H68" s="99">
        <f t="shared" si="8"/>
        <v>9493.968982608105</v>
      </c>
      <c r="I68" s="99">
        <f t="shared" si="8"/>
        <v>9549.27938840173</v>
      </c>
      <c r="J68" s="99">
        <f t="shared" si="8"/>
        <v>9559.339480829301</v>
      </c>
    </row>
    <row r="69" spans="2:10" s="181" customFormat="1" ht="78.75">
      <c r="B69" s="180" t="s">
        <v>56</v>
      </c>
      <c r="C69" s="99">
        <f>C68</f>
        <v>0</v>
      </c>
      <c r="D69" s="99">
        <f aca="true" t="shared" si="9" ref="D69:J69">C69+D68</f>
        <v>2940.8871428571424</v>
      </c>
      <c r="E69" s="99">
        <f t="shared" si="9"/>
        <v>11928.627474489793</v>
      </c>
      <c r="F69" s="99">
        <f t="shared" si="9"/>
        <v>21149.471461825793</v>
      </c>
      <c r="G69" s="99">
        <f t="shared" si="9"/>
        <v>30536.37500743504</v>
      </c>
      <c r="H69" s="99">
        <f>G69+H68</f>
        <v>40030.34399004314</v>
      </c>
      <c r="I69" s="99">
        <f t="shared" si="9"/>
        <v>49579.62337844487</v>
      </c>
      <c r="J69" s="99">
        <f t="shared" si="9"/>
        <v>59138.96285927417</v>
      </c>
    </row>
    <row r="72" ht="15.75">
      <c r="B72" s="92" t="s">
        <v>57</v>
      </c>
    </row>
    <row r="75" spans="2:9" ht="15.75">
      <c r="B75" s="93" t="s">
        <v>58</v>
      </c>
      <c r="D75" s="186">
        <f>2+-E66/F65</f>
        <v>0.8754581042322309</v>
      </c>
      <c r="E75" s="74" t="s">
        <v>59</v>
      </c>
      <c r="F75" s="181">
        <f>D75*12</f>
        <v>10.505497250786771</v>
      </c>
      <c r="G75" s="93" t="s">
        <v>4</v>
      </c>
      <c r="H75" s="93"/>
      <c r="I75" s="93"/>
    </row>
    <row r="76" spans="2:9" s="93" customFormat="1" ht="15.75">
      <c r="B76" s="93" t="s">
        <v>60</v>
      </c>
      <c r="D76" s="186">
        <f>4+-G69/H68</f>
        <v>0.7836028258177077</v>
      </c>
      <c r="E76" s="74" t="s">
        <v>59</v>
      </c>
      <c r="F76" s="181">
        <f>D76*12</f>
        <v>9.403233909812492</v>
      </c>
      <c r="G76" s="93" t="s">
        <v>136</v>
      </c>
      <c r="I76" s="187"/>
    </row>
    <row r="90" spans="3:4" ht="15.75">
      <c r="C90" s="95"/>
      <c r="D90" s="95"/>
    </row>
    <row r="91" spans="3:4" ht="15.75">
      <c r="C91" s="95"/>
      <c r="D91" s="95"/>
    </row>
    <row r="92" spans="3:4" ht="15.75">
      <c r="C92" s="95"/>
      <c r="D92" s="95"/>
    </row>
    <row r="93" spans="3:4" ht="15.75">
      <c r="C93" s="188"/>
      <c r="D93" s="188"/>
    </row>
  </sheetData>
  <sheetProtection/>
  <mergeCells count="1">
    <mergeCell ref="A9:D9"/>
  </mergeCells>
  <printOptions/>
  <pageMargins left="0.75" right="0.75" top="0.64" bottom="0.28" header="0.5" footer="0.25"/>
  <pageSetup fitToHeight="2" fitToWidth="1" horizontalDpi="600" verticalDpi="600" orientation="landscape" paperSize="9" scale="70" r:id="rId1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7"/>
  <sheetViews>
    <sheetView view="pageBreakPreview" zoomScaleSheetLayoutView="100" zoomScalePageLayoutView="0" workbookViewId="0" topLeftCell="A1">
      <selection activeCell="K32" sqref="K32"/>
    </sheetView>
  </sheetViews>
  <sheetFormatPr defaultColWidth="9.140625" defaultRowHeight="12.75"/>
  <cols>
    <col min="1" max="1" width="6.28125" style="1" customWidth="1"/>
    <col min="2" max="5" width="9.140625" style="1" customWidth="1"/>
    <col min="6" max="9" width="15.140625" style="1" bestFit="1" customWidth="1"/>
    <col min="10" max="10" width="14.8515625" style="1" customWidth="1"/>
    <col min="11" max="14" width="15.28125" style="1" customWidth="1"/>
    <col min="15" max="16384" width="9.140625" style="1" customWidth="1"/>
  </cols>
  <sheetData>
    <row r="1" ht="12.75">
      <c r="A1" s="2" t="s">
        <v>138</v>
      </c>
    </row>
    <row r="2" ht="12.75"/>
    <row r="3" ht="12.75">
      <c r="A3" s="2" t="s">
        <v>158</v>
      </c>
    </row>
    <row r="4" ht="12.75">
      <c r="A4" s="2"/>
    </row>
    <row r="5" ht="12.75">
      <c r="A5" s="31" t="s">
        <v>134</v>
      </c>
    </row>
    <row r="6" spans="1:4" ht="8.25" customHeight="1" thickBot="1">
      <c r="A6" s="31"/>
      <c r="C6" s="31"/>
      <c r="D6" s="31"/>
    </row>
    <row r="7" spans="1:14" ht="12.75">
      <c r="A7" s="32" t="s">
        <v>126</v>
      </c>
      <c r="B7" s="33"/>
      <c r="C7" s="33"/>
      <c r="D7" s="33"/>
      <c r="E7" s="33" t="s">
        <v>127</v>
      </c>
      <c r="F7" s="34" t="s">
        <v>29</v>
      </c>
      <c r="G7" s="34" t="s">
        <v>30</v>
      </c>
      <c r="H7" s="34" t="s">
        <v>31</v>
      </c>
      <c r="I7" s="34" t="s">
        <v>32</v>
      </c>
      <c r="J7" s="34" t="s">
        <v>120</v>
      </c>
      <c r="K7" s="34" t="s">
        <v>122</v>
      </c>
      <c r="L7" s="34" t="s">
        <v>142</v>
      </c>
      <c r="M7" s="34" t="s">
        <v>143</v>
      </c>
      <c r="N7" s="34" t="s">
        <v>144</v>
      </c>
    </row>
    <row r="8" spans="1:14" ht="13.5" thickBot="1">
      <c r="A8" s="35"/>
      <c r="B8" s="36"/>
      <c r="C8" s="36"/>
      <c r="D8" s="36"/>
      <c r="E8" s="36"/>
      <c r="F8" s="37"/>
      <c r="G8" s="38"/>
      <c r="H8" s="37"/>
      <c r="I8" s="38"/>
      <c r="J8" s="37"/>
      <c r="K8" s="37"/>
      <c r="L8" s="37"/>
      <c r="M8" s="37"/>
      <c r="N8" s="37"/>
    </row>
    <row r="9" spans="1:14" ht="12.75">
      <c r="A9" s="39" t="s">
        <v>128</v>
      </c>
      <c r="B9" s="31"/>
      <c r="C9" s="31"/>
      <c r="D9" s="31"/>
      <c r="E9" s="31"/>
      <c r="F9" s="48">
        <f>'6.ОПУ'!O13</f>
        <v>57744642.85714285</v>
      </c>
      <c r="G9" s="48">
        <f>'6.ОПУ'!P13</f>
        <v>61786767.85714285</v>
      </c>
      <c r="H9" s="48">
        <f>'6.ОПУ'!Q13</f>
        <v>66111841.60714284</v>
      </c>
      <c r="I9" s="48">
        <f>'6.ОПУ'!R13</f>
        <v>70739670.51964284</v>
      </c>
      <c r="J9" s="48">
        <f>'6.ОПУ'!S13</f>
        <v>75691447.45601785</v>
      </c>
      <c r="K9" s="48">
        <f>'6.ОПУ'!T13</f>
        <v>80989848.7779391</v>
      </c>
      <c r="L9" s="48">
        <f>'6.ОПУ'!U13</f>
        <v>86659138.19239484</v>
      </c>
      <c r="M9" s="48">
        <f>'6.ОПУ'!V13</f>
        <v>92725277.86586247</v>
      </c>
      <c r="N9" s="48">
        <f>'6.ОПУ'!W13</f>
        <v>99216047.31647284</v>
      </c>
    </row>
    <row r="10" spans="1:14" ht="12.75">
      <c r="A10" s="41" t="s">
        <v>129</v>
      </c>
      <c r="B10" s="31"/>
      <c r="C10" s="31"/>
      <c r="D10" s="31"/>
      <c r="E10" s="41"/>
      <c r="F10" s="48">
        <f>'6.ОПУ'!O16</f>
        <v>36372900</v>
      </c>
      <c r="G10" s="48">
        <f>'6.ОПУ'!P16</f>
        <v>38919003</v>
      </c>
      <c r="H10" s="48">
        <f>'6.ОПУ'!Q16</f>
        <v>41643333.20999999</v>
      </c>
      <c r="I10" s="48">
        <f>'6.ОПУ'!R16</f>
        <v>44558366.53469999</v>
      </c>
      <c r="J10" s="48">
        <f>'6.ОПУ'!S16</f>
        <v>47677452.19212899</v>
      </c>
      <c r="K10" s="48">
        <f>'6.ОПУ'!T16</f>
        <v>51014873.845578015</v>
      </c>
      <c r="L10" s="48">
        <f>'6.ОПУ'!U16</f>
        <v>54585915.01476848</v>
      </c>
      <c r="M10" s="48">
        <f>'6.ОПУ'!V16</f>
        <v>58406929.06580228</v>
      </c>
      <c r="N10" s="48">
        <f>'6.ОПУ'!W16</f>
        <v>62495414.10040844</v>
      </c>
    </row>
    <row r="11" spans="1:14" ht="12.75">
      <c r="A11" s="41" t="s">
        <v>95</v>
      </c>
      <c r="B11" s="31"/>
      <c r="C11" s="31"/>
      <c r="D11" s="31"/>
      <c r="E11" s="41"/>
      <c r="F11" s="48">
        <f>'6.ОПУ'!O26</f>
        <v>22280123.16</v>
      </c>
      <c r="G11" s="48">
        <f>'6.ОПУ'!P26</f>
        <v>22725725.6232</v>
      </c>
      <c r="H11" s="48">
        <f>'6.ОПУ'!Q26</f>
        <v>23180240.135664005</v>
      </c>
      <c r="I11" s="48">
        <f>'6.ОПУ'!R26</f>
        <v>23643844.938377284</v>
      </c>
      <c r="J11" s="48">
        <f>'6.ОПУ'!S26</f>
        <v>24116721.837144826</v>
      </c>
      <c r="K11" s="48">
        <f>'6.ОПУ'!T26</f>
        <v>24599056.27388772</v>
      </c>
      <c r="L11" s="48">
        <f>'6.ОПУ'!U26</f>
        <v>25091037.39936548</v>
      </c>
      <c r="M11" s="48">
        <f>'6.ОПУ'!V26</f>
        <v>25592858.14735279</v>
      </c>
      <c r="N11" s="48">
        <f>'6.ОПУ'!W26</f>
        <v>26104715.310299844</v>
      </c>
    </row>
    <row r="12" spans="1:14" ht="12.75">
      <c r="A12" s="41" t="s">
        <v>130</v>
      </c>
      <c r="B12" s="41"/>
      <c r="C12" s="41"/>
      <c r="D12" s="41"/>
      <c r="E12" s="41"/>
      <c r="F12" s="46">
        <f aca="true" t="shared" si="0" ref="F12:N12">F10/F9</f>
        <v>0.629892197792003</v>
      </c>
      <c r="G12" s="47">
        <f t="shared" si="0"/>
        <v>0.629892197792003</v>
      </c>
      <c r="H12" s="46">
        <f t="shared" si="0"/>
        <v>0.629892197792003</v>
      </c>
      <c r="I12" s="47">
        <f t="shared" si="0"/>
        <v>0.629892197792003</v>
      </c>
      <c r="J12" s="46">
        <f t="shared" si="0"/>
        <v>0.6298921977920029</v>
      </c>
      <c r="K12" s="46">
        <f t="shared" si="0"/>
        <v>0.6298921977920029</v>
      </c>
      <c r="L12" s="46">
        <f t="shared" si="0"/>
        <v>0.6298921977920029</v>
      </c>
      <c r="M12" s="46">
        <f t="shared" si="0"/>
        <v>0.629892197792003</v>
      </c>
      <c r="N12" s="46">
        <f t="shared" si="0"/>
        <v>0.629892197792003</v>
      </c>
    </row>
    <row r="13" spans="1:14" ht="12.75">
      <c r="A13" s="41" t="s">
        <v>131</v>
      </c>
      <c r="B13" s="41"/>
      <c r="C13" s="41"/>
      <c r="D13" s="41"/>
      <c r="E13" s="41"/>
      <c r="F13" s="48">
        <f aca="true" t="shared" si="1" ref="F13:K13">F11/F12</f>
        <v>35371327.40824507</v>
      </c>
      <c r="G13" s="48">
        <f t="shared" si="1"/>
        <v>36078753.95640997</v>
      </c>
      <c r="H13" s="48">
        <f t="shared" si="1"/>
        <v>36800329.035538174</v>
      </c>
      <c r="I13" s="48">
        <f t="shared" si="1"/>
        <v>37536335.616248935</v>
      </c>
      <c r="J13" s="48">
        <f t="shared" si="1"/>
        <v>38287062.32857392</v>
      </c>
      <c r="K13" s="48">
        <f t="shared" si="1"/>
        <v>39052803.57514539</v>
      </c>
      <c r="L13" s="48">
        <f>L11/L12</f>
        <v>39833859.64664831</v>
      </c>
      <c r="M13" s="48">
        <f>M11/M12</f>
        <v>40630536.839581266</v>
      </c>
      <c r="N13" s="48">
        <f>N11/N12</f>
        <v>41443147.57637289</v>
      </c>
    </row>
    <row r="14" spans="1:14" ht="12.75">
      <c r="A14" s="41" t="s">
        <v>132</v>
      </c>
      <c r="B14" s="41"/>
      <c r="C14" s="41"/>
      <c r="D14" s="41"/>
      <c r="E14" s="41"/>
      <c r="F14" s="48">
        <f aca="true" t="shared" si="2" ref="F14:K14">F9-F13</f>
        <v>22373315.44889778</v>
      </c>
      <c r="G14" s="48">
        <f t="shared" si="2"/>
        <v>25708013.900732882</v>
      </c>
      <c r="H14" s="48">
        <f t="shared" si="2"/>
        <v>29311512.57160467</v>
      </c>
      <c r="I14" s="48">
        <f t="shared" si="2"/>
        <v>33203334.90339391</v>
      </c>
      <c r="J14" s="48">
        <f t="shared" si="2"/>
        <v>37404385.12744393</v>
      </c>
      <c r="K14" s="48">
        <f t="shared" si="2"/>
        <v>41937045.2027937</v>
      </c>
      <c r="L14" s="48">
        <f>L9-L13</f>
        <v>46825278.54574653</v>
      </c>
      <c r="M14" s="48">
        <f>M9-M13</f>
        <v>52094741.02628121</v>
      </c>
      <c r="N14" s="48">
        <f>N9-N13</f>
        <v>57772899.74009995</v>
      </c>
    </row>
    <row r="15" spans="1:14" ht="13.5" thickBot="1">
      <c r="A15" s="41" t="s">
        <v>133</v>
      </c>
      <c r="B15" s="41"/>
      <c r="C15" s="41"/>
      <c r="D15" s="41"/>
      <c r="E15" s="41"/>
      <c r="F15" s="42">
        <f aca="true" t="shared" si="3" ref="F15:K15">F14/F9</f>
        <v>0.38745265953498337</v>
      </c>
      <c r="G15" s="42">
        <f t="shared" si="3"/>
        <v>0.4160763670333487</v>
      </c>
      <c r="H15" s="42">
        <f t="shared" si="3"/>
        <v>0.4433625181065566</v>
      </c>
      <c r="I15" s="42">
        <f t="shared" si="3"/>
        <v>0.46937361539129696</v>
      </c>
      <c r="J15" s="42">
        <f t="shared" si="3"/>
        <v>0.4941692408403018</v>
      </c>
      <c r="K15" s="42">
        <f t="shared" si="3"/>
        <v>0.5178061922029045</v>
      </c>
      <c r="L15" s="42">
        <f>L14/L9</f>
        <v>0.5403386131280024</v>
      </c>
      <c r="M15" s="42">
        <f>M14/M9</f>
        <v>0.5618181171874416</v>
      </c>
      <c r="N15" s="42">
        <f>N14/N9</f>
        <v>0.5822939061039163</v>
      </c>
    </row>
    <row r="16" spans="1:10" ht="12.75">
      <c r="A16" s="41"/>
      <c r="B16" s="41"/>
      <c r="C16" s="41"/>
      <c r="D16" s="41"/>
      <c r="E16" s="41"/>
      <c r="F16" s="40"/>
      <c r="G16" s="40"/>
      <c r="H16" s="40"/>
      <c r="I16" s="40"/>
      <c r="J16" s="40"/>
    </row>
    <row r="17" spans="6:10" ht="12.75">
      <c r="F17" s="43"/>
      <c r="G17" s="43"/>
      <c r="H17" s="43"/>
      <c r="I17" s="41"/>
      <c r="J17" s="41"/>
    </row>
    <row r="18" spans="6:10" ht="12.75">
      <c r="F18" s="43"/>
      <c r="G18" s="43"/>
      <c r="H18" s="43"/>
      <c r="I18" s="41"/>
      <c r="J18" s="41"/>
    </row>
    <row r="19" spans="6:10" ht="12.75">
      <c r="F19" s="43"/>
      <c r="G19" s="43"/>
      <c r="H19" s="43"/>
      <c r="I19" s="41"/>
      <c r="J19" s="41"/>
    </row>
    <row r="20" spans="6:8" ht="12.75">
      <c r="F20" s="44"/>
      <c r="G20" s="44"/>
      <c r="H20" s="44"/>
    </row>
    <row r="21" spans="6:8" ht="12.75">
      <c r="F21" s="44"/>
      <c r="G21" s="44"/>
      <c r="H21" s="44"/>
    </row>
    <row r="22" spans="6:8" ht="12.75">
      <c r="F22" s="44"/>
      <c r="G22" s="44"/>
      <c r="H22" s="44"/>
    </row>
    <row r="23" spans="6:8" ht="12.75">
      <c r="F23" s="44"/>
      <c r="G23" s="44"/>
      <c r="H23" s="44"/>
    </row>
    <row r="24" spans="6:8" ht="12.75">
      <c r="F24" s="44"/>
      <c r="G24" s="44"/>
      <c r="H24" s="44"/>
    </row>
    <row r="25" spans="6:8" ht="12.75">
      <c r="F25" s="44"/>
      <c r="G25" s="44"/>
      <c r="H25" s="44"/>
    </row>
    <row r="26" spans="6:8" ht="12.75">
      <c r="F26" s="44"/>
      <c r="G26" s="44"/>
      <c r="H26" s="44"/>
    </row>
    <row r="27" spans="6:8" ht="12.75">
      <c r="F27" s="44"/>
      <c r="G27" s="44"/>
      <c r="H27" s="44"/>
    </row>
    <row r="28" spans="6:8" ht="12.75">
      <c r="F28" s="44"/>
      <c r="G28" s="44"/>
      <c r="H28" s="44"/>
    </row>
    <row r="29" spans="6:8" ht="12.75">
      <c r="F29" s="44"/>
      <c r="G29" s="44"/>
      <c r="H29" s="44"/>
    </row>
    <row r="30" spans="6:8" ht="12.75">
      <c r="F30" s="44"/>
      <c r="G30" s="44"/>
      <c r="H30" s="44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6:8" ht="12.75">
      <c r="F33" s="44"/>
      <c r="G33" s="44"/>
      <c r="H33" s="44"/>
    </row>
    <row r="34" spans="6:8" ht="12.75">
      <c r="F34" s="44"/>
      <c r="G34" s="44"/>
      <c r="H34" s="44"/>
    </row>
    <row r="35" spans="6:8" ht="12.75">
      <c r="F35" s="44"/>
      <c r="G35" s="44"/>
      <c r="H35" s="44"/>
    </row>
    <row r="36" spans="6:8" ht="12.75">
      <c r="F36" s="44"/>
      <c r="G36" s="44"/>
      <c r="H36" s="44"/>
    </row>
    <row r="37" spans="6:8" ht="12.75">
      <c r="F37" s="44"/>
      <c r="G37" s="44"/>
      <c r="H37" s="44"/>
    </row>
    <row r="38" spans="6:8" ht="12.75">
      <c r="F38" s="44"/>
      <c r="G38" s="44"/>
      <c r="H38" s="44"/>
    </row>
    <row r="39" spans="6:8" ht="12.75">
      <c r="F39" s="44"/>
      <c r="G39" s="44"/>
      <c r="H39" s="44"/>
    </row>
    <row r="40" spans="6:8" ht="12.75">
      <c r="F40" s="44"/>
      <c r="G40" s="44"/>
      <c r="H40" s="44"/>
    </row>
    <row r="41" spans="6:8" ht="12.75">
      <c r="F41" s="44"/>
      <c r="G41" s="44"/>
      <c r="H41" s="44"/>
    </row>
    <row r="42" spans="6:8" ht="12.75">
      <c r="F42" s="44"/>
      <c r="G42" s="44"/>
      <c r="H42" s="44"/>
    </row>
    <row r="43" spans="6:8" ht="12.75">
      <c r="F43" s="44"/>
      <c r="G43" s="44"/>
      <c r="H43" s="44"/>
    </row>
    <row r="44" spans="6:8" ht="12.75">
      <c r="F44" s="44"/>
      <c r="G44" s="44"/>
      <c r="H44" s="44"/>
    </row>
    <row r="45" spans="6:8" ht="12.75">
      <c r="F45" s="44"/>
      <c r="G45" s="44"/>
      <c r="H45" s="44"/>
    </row>
    <row r="46" spans="6:8" ht="12.75">
      <c r="F46" s="44"/>
      <c r="G46" s="44"/>
      <c r="H46" s="44"/>
    </row>
    <row r="47" spans="6:8" ht="12.75">
      <c r="F47" s="44"/>
      <c r="G47" s="44"/>
      <c r="H47" s="44"/>
    </row>
    <row r="48" spans="6:8" ht="12.75">
      <c r="F48" s="44"/>
      <c r="G48" s="44"/>
      <c r="H48" s="44"/>
    </row>
    <row r="49" spans="6:8" ht="12.75">
      <c r="F49" s="44"/>
      <c r="G49" s="44"/>
      <c r="H49" s="44"/>
    </row>
    <row r="50" spans="6:8" ht="12.75">
      <c r="F50" s="44"/>
      <c r="G50" s="44"/>
      <c r="H50" s="44"/>
    </row>
    <row r="51" spans="6:8" ht="12.75">
      <c r="F51" s="44"/>
      <c r="G51" s="44"/>
      <c r="H51" s="44"/>
    </row>
    <row r="52" spans="6:8" ht="12.75">
      <c r="F52" s="44"/>
      <c r="G52" s="44"/>
      <c r="H52" s="44"/>
    </row>
    <row r="53" spans="6:8" ht="12.75">
      <c r="F53" s="44"/>
      <c r="G53" s="44"/>
      <c r="H53" s="44"/>
    </row>
    <row r="54" spans="6:8" ht="12.75">
      <c r="F54" s="44"/>
      <c r="G54" s="44"/>
      <c r="H54" s="44"/>
    </row>
    <row r="55" spans="6:8" ht="12.75">
      <c r="F55" s="44"/>
      <c r="G55" s="44"/>
      <c r="H55" s="44"/>
    </row>
    <row r="56" spans="6:8" ht="12.75">
      <c r="F56" s="44"/>
      <c r="G56" s="44"/>
      <c r="H56" s="44"/>
    </row>
    <row r="57" spans="6:8" ht="12.75">
      <c r="F57" s="44"/>
      <c r="G57" s="44"/>
      <c r="H57" s="44"/>
    </row>
    <row r="58" spans="6:8" ht="12.75">
      <c r="F58" s="44"/>
      <c r="G58" s="44"/>
      <c r="H58" s="44"/>
    </row>
    <row r="59" spans="6:8" ht="12.75">
      <c r="F59" s="44"/>
      <c r="G59" s="44"/>
      <c r="H59" s="44"/>
    </row>
    <row r="60" spans="6:8" ht="12.75">
      <c r="F60" s="44"/>
      <c r="G60" s="44"/>
      <c r="H60" s="44"/>
    </row>
    <row r="61" spans="6:8" ht="12.75">
      <c r="F61" s="44"/>
      <c r="G61" s="44"/>
      <c r="H61" s="44"/>
    </row>
    <row r="62" spans="6:8" ht="12.75">
      <c r="F62" s="44"/>
      <c r="G62" s="44"/>
      <c r="H62" s="44"/>
    </row>
    <row r="63" spans="6:8" ht="12.75">
      <c r="F63" s="44"/>
      <c r="G63" s="44"/>
      <c r="H63" s="44"/>
    </row>
    <row r="64" spans="6:8" ht="12.75">
      <c r="F64" s="44"/>
      <c r="G64" s="44"/>
      <c r="H64" s="44"/>
    </row>
    <row r="65" spans="6:8" ht="12.75">
      <c r="F65" s="44"/>
      <c r="G65" s="44"/>
      <c r="H65" s="44"/>
    </row>
    <row r="66" spans="6:8" ht="12.75">
      <c r="F66" s="44"/>
      <c r="G66" s="44"/>
      <c r="H66" s="44"/>
    </row>
    <row r="67" spans="6:8" ht="12.75">
      <c r="F67" s="44"/>
      <c r="G67" s="44"/>
      <c r="H67" s="44"/>
    </row>
    <row r="68" spans="6:8" ht="12.75">
      <c r="F68" s="44"/>
      <c r="G68" s="44"/>
      <c r="H68" s="44"/>
    </row>
    <row r="69" spans="6:8" ht="12.75">
      <c r="F69" s="44"/>
      <c r="G69" s="44"/>
      <c r="H69" s="44"/>
    </row>
    <row r="70" spans="6:8" ht="12.75">
      <c r="F70" s="44"/>
      <c r="G70" s="44"/>
      <c r="H70" s="44"/>
    </row>
    <row r="71" spans="6:8" ht="12.75">
      <c r="F71" s="44"/>
      <c r="G71" s="44"/>
      <c r="H71" s="44"/>
    </row>
    <row r="72" spans="6:8" ht="12.75">
      <c r="F72" s="44"/>
      <c r="G72" s="44"/>
      <c r="H72" s="44"/>
    </row>
    <row r="73" spans="6:8" ht="12.75">
      <c r="F73" s="44"/>
      <c r="G73" s="44"/>
      <c r="H73" s="44"/>
    </row>
    <row r="74" spans="6:8" ht="12.75">
      <c r="F74" s="44"/>
      <c r="G74" s="44"/>
      <c r="H74" s="44"/>
    </row>
    <row r="75" spans="6:8" ht="12.75">
      <c r="F75" s="44"/>
      <c r="G75" s="44"/>
      <c r="H75" s="44"/>
    </row>
    <row r="76" spans="6:8" ht="12.75">
      <c r="F76" s="44"/>
      <c r="G76" s="44"/>
      <c r="H76" s="44"/>
    </row>
    <row r="77" spans="6:8" ht="12.75">
      <c r="F77" s="44"/>
      <c r="G77" s="44"/>
      <c r="H77" s="44"/>
    </row>
    <row r="78" spans="6:8" ht="12.75">
      <c r="F78" s="44"/>
      <c r="G78" s="44"/>
      <c r="H78" s="44"/>
    </row>
    <row r="79" spans="6:8" ht="12.75">
      <c r="F79" s="44"/>
      <c r="G79" s="44"/>
      <c r="H79" s="44"/>
    </row>
    <row r="80" spans="6:8" ht="12.75">
      <c r="F80" s="44"/>
      <c r="G80" s="44"/>
      <c r="H80" s="44"/>
    </row>
    <row r="81" spans="6:8" ht="12.75">
      <c r="F81" s="44"/>
      <c r="G81" s="44"/>
      <c r="H81" s="44"/>
    </row>
    <row r="82" spans="6:8" ht="12.75">
      <c r="F82" s="44"/>
      <c r="G82" s="44"/>
      <c r="H82" s="44"/>
    </row>
    <row r="83" spans="6:8" ht="12.75">
      <c r="F83" s="44"/>
      <c r="G83" s="44"/>
      <c r="H83" s="44"/>
    </row>
    <row r="84" spans="6:8" ht="12.75">
      <c r="F84" s="44"/>
      <c r="G84" s="44"/>
      <c r="H84" s="44"/>
    </row>
    <row r="85" spans="6:8" ht="12.75">
      <c r="F85" s="44"/>
      <c r="G85" s="44"/>
      <c r="H85" s="44"/>
    </row>
    <row r="86" spans="6:8" ht="12.75">
      <c r="F86" s="44"/>
      <c r="G86" s="44"/>
      <c r="H86" s="44"/>
    </row>
    <row r="87" spans="6:8" ht="12.75">
      <c r="F87" s="44"/>
      <c r="G87" s="44"/>
      <c r="H87" s="44"/>
    </row>
    <row r="88" spans="6:8" ht="12.75">
      <c r="F88" s="44"/>
      <c r="G88" s="44"/>
      <c r="H88" s="44"/>
    </row>
    <row r="89" spans="6:8" ht="12.75">
      <c r="F89" s="44"/>
      <c r="G89" s="44"/>
      <c r="H89" s="44"/>
    </row>
    <row r="90" spans="6:8" ht="12.75">
      <c r="F90" s="44"/>
      <c r="G90" s="44"/>
      <c r="H90" s="44"/>
    </row>
    <row r="91" spans="6:8" ht="12.75">
      <c r="F91" s="44"/>
      <c r="G91" s="44"/>
      <c r="H91" s="44"/>
    </row>
    <row r="92" spans="6:8" ht="12.75">
      <c r="F92" s="44"/>
      <c r="G92" s="44"/>
      <c r="H92" s="44"/>
    </row>
    <row r="93" spans="6:8" ht="12.75">
      <c r="F93" s="44"/>
      <c r="G93" s="44"/>
      <c r="H93" s="44"/>
    </row>
    <row r="94" spans="6:8" ht="12.75">
      <c r="F94" s="44"/>
      <c r="G94" s="44"/>
      <c r="H94" s="44"/>
    </row>
    <row r="95" spans="6:8" ht="12.75">
      <c r="F95" s="44"/>
      <c r="G95" s="44"/>
      <c r="H95" s="44"/>
    </row>
    <row r="96" spans="6:8" ht="12.75">
      <c r="F96" s="44"/>
      <c r="G96" s="44"/>
      <c r="H96" s="44"/>
    </row>
    <row r="97" spans="6:8" ht="12.75">
      <c r="F97" s="44"/>
      <c r="G97" s="44"/>
      <c r="H97" s="44"/>
    </row>
    <row r="98" spans="6:8" ht="12.75">
      <c r="F98" s="44"/>
      <c r="G98" s="44"/>
      <c r="H98" s="44"/>
    </row>
    <row r="99" spans="6:8" ht="12.75">
      <c r="F99" s="44"/>
      <c r="G99" s="44"/>
      <c r="H99" s="44"/>
    </row>
    <row r="100" spans="6:8" ht="12.75">
      <c r="F100" s="44"/>
      <c r="G100" s="44"/>
      <c r="H100" s="44"/>
    </row>
    <row r="101" spans="6:8" ht="12.75">
      <c r="F101" s="44"/>
      <c r="G101" s="44"/>
      <c r="H101" s="44"/>
    </row>
    <row r="102" spans="6:8" ht="12.75">
      <c r="F102" s="44"/>
      <c r="G102" s="44"/>
      <c r="H102" s="44"/>
    </row>
    <row r="103" spans="6:8" ht="12.75">
      <c r="F103" s="44"/>
      <c r="G103" s="44"/>
      <c r="H103" s="44"/>
    </row>
    <row r="104" spans="6:8" ht="12.75">
      <c r="F104" s="44"/>
      <c r="G104" s="44"/>
      <c r="H104" s="44"/>
    </row>
    <row r="105" spans="6:8" ht="12.75">
      <c r="F105" s="44"/>
      <c r="G105" s="44"/>
      <c r="H105" s="44"/>
    </row>
    <row r="106" spans="6:8" ht="12.75">
      <c r="F106" s="44"/>
      <c r="G106" s="44"/>
      <c r="H106" s="44"/>
    </row>
    <row r="107" spans="6:8" ht="12.75">
      <c r="F107" s="44"/>
      <c r="G107" s="44"/>
      <c r="H107" s="44"/>
    </row>
    <row r="108" spans="6:8" ht="12.75">
      <c r="F108" s="44"/>
      <c r="G108" s="44"/>
      <c r="H108" s="44"/>
    </row>
    <row r="109" spans="6:8" ht="12.75">
      <c r="F109" s="44"/>
      <c r="G109" s="44"/>
      <c r="H109" s="44"/>
    </row>
    <row r="110" spans="6:8" ht="12.75">
      <c r="F110" s="44"/>
      <c r="G110" s="44"/>
      <c r="H110" s="44"/>
    </row>
    <row r="111" spans="6:8" ht="12.75">
      <c r="F111" s="44"/>
      <c r="G111" s="44"/>
      <c r="H111" s="44"/>
    </row>
    <row r="112" spans="6:8" ht="12.75">
      <c r="F112" s="44"/>
      <c r="G112" s="44"/>
      <c r="H112" s="44"/>
    </row>
    <row r="113" spans="6:8" ht="12.75">
      <c r="F113" s="44"/>
      <c r="G113" s="44"/>
      <c r="H113" s="44"/>
    </row>
    <row r="114" spans="6:8" ht="12.75">
      <c r="F114" s="44"/>
      <c r="G114" s="44"/>
      <c r="H114" s="44"/>
    </row>
    <row r="115" spans="6:8" ht="12.75">
      <c r="F115" s="44"/>
      <c r="G115" s="44"/>
      <c r="H115" s="44"/>
    </row>
    <row r="116" spans="6:8" ht="12.75">
      <c r="F116" s="44"/>
      <c r="G116" s="44"/>
      <c r="H116" s="44"/>
    </row>
    <row r="117" spans="6:8" ht="12.75">
      <c r="F117" s="44"/>
      <c r="G117" s="44"/>
      <c r="H117" s="44"/>
    </row>
    <row r="118" spans="6:8" ht="12.75">
      <c r="F118" s="44"/>
      <c r="G118" s="44"/>
      <c r="H118" s="44"/>
    </row>
    <row r="119" spans="6:8" ht="12.75">
      <c r="F119" s="44"/>
      <c r="G119" s="44"/>
      <c r="H119" s="44"/>
    </row>
    <row r="120" spans="6:8" ht="12.75">
      <c r="F120" s="44"/>
      <c r="G120" s="44"/>
      <c r="H120" s="44"/>
    </row>
    <row r="121" spans="6:8" ht="12.75">
      <c r="F121" s="44"/>
      <c r="G121" s="44"/>
      <c r="H121" s="44"/>
    </row>
    <row r="122" spans="6:8" ht="12.75">
      <c r="F122" s="44"/>
      <c r="G122" s="44"/>
      <c r="H122" s="44"/>
    </row>
    <row r="123" spans="6:8" ht="12.75">
      <c r="F123" s="44"/>
      <c r="G123" s="44"/>
      <c r="H123" s="44"/>
    </row>
    <row r="124" spans="6:8" ht="12.75">
      <c r="F124" s="44"/>
      <c r="G124" s="44"/>
      <c r="H124" s="44"/>
    </row>
    <row r="125" spans="6:8" ht="12.75">
      <c r="F125" s="44"/>
      <c r="G125" s="44"/>
      <c r="H125" s="44"/>
    </row>
    <row r="126" spans="6:8" ht="12.75">
      <c r="F126" s="44"/>
      <c r="G126" s="44"/>
      <c r="H126" s="44"/>
    </row>
    <row r="127" spans="6:8" ht="12.75">
      <c r="F127" s="44"/>
      <c r="G127" s="44"/>
      <c r="H127" s="44"/>
    </row>
    <row r="128" spans="6:8" ht="12.75">
      <c r="F128" s="44"/>
      <c r="G128" s="44"/>
      <c r="H128" s="44"/>
    </row>
    <row r="129" spans="6:8" ht="12.75">
      <c r="F129" s="44"/>
      <c r="G129" s="44"/>
      <c r="H129" s="44"/>
    </row>
    <row r="130" spans="6:8" ht="12.75">
      <c r="F130" s="44"/>
      <c r="G130" s="44"/>
      <c r="H130" s="44"/>
    </row>
    <row r="131" spans="6:8" ht="12.75">
      <c r="F131" s="44"/>
      <c r="G131" s="44"/>
      <c r="H131" s="44"/>
    </row>
    <row r="132" spans="6:8" ht="12.75">
      <c r="F132" s="44"/>
      <c r="G132" s="44"/>
      <c r="H132" s="44"/>
    </row>
    <row r="133" spans="6:8" ht="12.75">
      <c r="F133" s="44"/>
      <c r="G133" s="44"/>
      <c r="H133" s="44"/>
    </row>
    <row r="134" spans="6:8" ht="12.75">
      <c r="F134" s="44"/>
      <c r="G134" s="44"/>
      <c r="H134" s="44"/>
    </row>
    <row r="135" spans="6:8" ht="12.75">
      <c r="F135" s="44"/>
      <c r="G135" s="44"/>
      <c r="H135" s="44"/>
    </row>
    <row r="136" spans="6:8" ht="12.75">
      <c r="F136" s="44"/>
      <c r="G136" s="44"/>
      <c r="H136" s="44"/>
    </row>
    <row r="137" spans="6:8" ht="12.75">
      <c r="F137" s="44"/>
      <c r="G137" s="44"/>
      <c r="H137" s="44"/>
    </row>
  </sheetData>
  <sheetProtection/>
  <printOptions/>
  <pageMargins left="0.75" right="0.75" top="1" bottom="1" header="0.5" footer="0.5"/>
  <pageSetup horizontalDpi="600" verticalDpi="6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00390625" style="51" customWidth="1"/>
    <col min="2" max="25" width="3.7109375" style="51" customWidth="1"/>
    <col min="26" max="16384" width="9.140625" style="51" customWidth="1"/>
  </cols>
  <sheetData>
    <row r="1" ht="16.5">
      <c r="Y1" s="204"/>
    </row>
    <row r="2" spans="3:17" ht="16.5">
      <c r="C2" s="205" t="s">
        <v>213</v>
      </c>
      <c r="D2" s="206"/>
      <c r="E2" s="206"/>
      <c r="F2" s="206"/>
      <c r="G2" s="206"/>
      <c r="H2" s="206"/>
      <c r="O2" s="207"/>
      <c r="Q2" s="208"/>
    </row>
    <row r="3" spans="1:25" ht="25.5" customHeight="1">
      <c r="A3" s="209" t="s">
        <v>214</v>
      </c>
      <c r="B3" s="264" t="s">
        <v>215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7" t="s">
        <v>216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</row>
    <row r="4" spans="1:25" ht="13.5">
      <c r="A4" s="209"/>
      <c r="B4" s="210">
        <v>1</v>
      </c>
      <c r="C4" s="210">
        <v>2</v>
      </c>
      <c r="D4" s="210">
        <v>3</v>
      </c>
      <c r="E4" s="210">
        <v>4</v>
      </c>
      <c r="F4" s="210">
        <v>5</v>
      </c>
      <c r="G4" s="210">
        <v>6</v>
      </c>
      <c r="H4" s="210">
        <v>7</v>
      </c>
      <c r="I4" s="210">
        <v>8</v>
      </c>
      <c r="J4" s="210">
        <v>9</v>
      </c>
      <c r="K4" s="210">
        <v>10</v>
      </c>
      <c r="L4" s="210">
        <v>11</v>
      </c>
      <c r="M4" s="210">
        <v>12</v>
      </c>
      <c r="N4" s="210">
        <v>1</v>
      </c>
      <c r="O4" s="210">
        <v>2</v>
      </c>
      <c r="P4" s="210">
        <v>3</v>
      </c>
      <c r="Q4" s="210">
        <v>4</v>
      </c>
      <c r="R4" s="210">
        <v>5</v>
      </c>
      <c r="S4" s="210">
        <v>6</v>
      </c>
      <c r="T4" s="210">
        <v>7</v>
      </c>
      <c r="U4" s="210">
        <v>8</v>
      </c>
      <c r="V4" s="210">
        <v>9</v>
      </c>
      <c r="W4" s="210">
        <v>10</v>
      </c>
      <c r="X4" s="210">
        <v>11</v>
      </c>
      <c r="Y4" s="210">
        <v>12</v>
      </c>
    </row>
    <row r="5" spans="1:25" ht="12.75">
      <c r="A5" s="211" t="s">
        <v>217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2.75">
      <c r="A6" s="211" t="s">
        <v>218</v>
      </c>
      <c r="B6" s="21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5" ht="12.75">
      <c r="A7" s="211" t="s">
        <v>219</v>
      </c>
      <c r="B7" s="211"/>
      <c r="C7" s="211"/>
      <c r="D7" s="211"/>
      <c r="E7" s="211"/>
      <c r="F7" s="211"/>
      <c r="G7" s="211"/>
      <c r="H7" s="211"/>
      <c r="I7" s="21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25" ht="12.75">
      <c r="A8" s="211" t="s">
        <v>220</v>
      </c>
      <c r="B8" s="251"/>
      <c r="C8" s="250"/>
      <c r="D8" s="250"/>
      <c r="E8" s="211"/>
      <c r="F8" s="211"/>
      <c r="G8" s="211"/>
      <c r="H8" s="211"/>
      <c r="I8" s="211"/>
      <c r="J8" s="25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5.5">
      <c r="A9" s="211" t="s">
        <v>284</v>
      </c>
      <c r="B9" s="251"/>
      <c r="C9" s="212"/>
      <c r="D9" s="212"/>
      <c r="E9" s="251"/>
      <c r="F9" s="251"/>
      <c r="G9" s="251"/>
      <c r="H9" s="251"/>
      <c r="I9" s="251"/>
      <c r="J9" s="25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ht="12.75">
      <c r="A10" s="211" t="s">
        <v>221</v>
      </c>
      <c r="B10" s="251"/>
      <c r="C10" s="251"/>
      <c r="D10" s="251"/>
      <c r="E10" s="250"/>
      <c r="F10" s="211"/>
      <c r="G10" s="211"/>
      <c r="H10" s="211"/>
      <c r="I10" s="211"/>
      <c r="J10" s="25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ht="12.75">
      <c r="A11" s="211" t="s">
        <v>222</v>
      </c>
      <c r="B11" s="211"/>
      <c r="C11" s="211"/>
      <c r="D11" s="211"/>
      <c r="E11" s="211"/>
      <c r="F11" s="211"/>
      <c r="G11" s="211"/>
      <c r="H11" s="211"/>
      <c r="I11" s="211"/>
      <c r="J11" s="251"/>
      <c r="K11" s="251"/>
      <c r="L11" s="25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ht="12.75">
      <c r="A12" s="211" t="s">
        <v>223</v>
      </c>
      <c r="B12" s="211"/>
      <c r="C12" s="211"/>
      <c r="D12" s="211"/>
      <c r="E12" s="211"/>
      <c r="F12" s="211"/>
      <c r="G12" s="211"/>
      <c r="H12" s="211"/>
      <c r="I12" s="211"/>
      <c r="J12" s="212"/>
      <c r="K12" s="211"/>
      <c r="L12" s="211"/>
      <c r="M12" s="211"/>
      <c r="N12" s="211"/>
      <c r="O12" s="211"/>
      <c r="P12" s="212"/>
      <c r="Q12" s="211"/>
      <c r="R12" s="211"/>
      <c r="S12" s="211"/>
      <c r="T12" s="211"/>
      <c r="U12" s="211"/>
      <c r="V12" s="212"/>
      <c r="W12" s="211"/>
      <c r="X12" s="211"/>
      <c r="Y12" s="211"/>
    </row>
    <row r="13" spans="1:25" ht="12.75">
      <c r="A13" s="211" t="s">
        <v>228</v>
      </c>
      <c r="B13" s="250"/>
      <c r="C13" s="250"/>
      <c r="D13" s="250"/>
      <c r="E13" s="250"/>
      <c r="F13" s="250"/>
      <c r="G13" s="250"/>
      <c r="H13" s="250"/>
      <c r="I13" s="250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2.75">
      <c r="A14" s="211" t="s">
        <v>227</v>
      </c>
      <c r="B14" s="250"/>
      <c r="C14" s="250"/>
      <c r="D14" s="250"/>
      <c r="E14" s="250"/>
      <c r="F14" s="250"/>
      <c r="G14" s="250"/>
      <c r="H14" s="250"/>
      <c r="I14" s="250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25" ht="12.75">
      <c r="A15" s="211" t="s">
        <v>224</v>
      </c>
      <c r="B15" s="250"/>
      <c r="C15" s="250"/>
      <c r="D15" s="250"/>
      <c r="E15" s="250"/>
      <c r="F15" s="250"/>
      <c r="G15" s="250"/>
      <c r="H15" s="250"/>
      <c r="I15" s="250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211" t="s">
        <v>225</v>
      </c>
      <c r="B16" s="250"/>
      <c r="C16" s="250"/>
      <c r="D16" s="250"/>
      <c r="E16" s="250"/>
      <c r="F16" s="250"/>
      <c r="G16" s="250"/>
      <c r="H16" s="250"/>
      <c r="I16" s="250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</row>
    <row r="17" spans="1:25" ht="12.75">
      <c r="A17" s="211" t="s">
        <v>226</v>
      </c>
      <c r="B17" s="211"/>
      <c r="C17" s="211"/>
      <c r="D17" s="211"/>
      <c r="E17" s="211"/>
      <c r="F17" s="211"/>
      <c r="G17" s="211"/>
      <c r="H17" s="211"/>
      <c r="I17" s="21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</row>
  </sheetData>
  <sheetProtection/>
  <mergeCells count="2">
    <mergeCell ref="B3:M3"/>
    <mergeCell ref="N3:Y3"/>
  </mergeCells>
  <printOptions/>
  <pageMargins left="0.5905511811023623" right="0.5905511811023623" top="0.5905511811023623" bottom="0.5905511811023623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Layout" zoomScale="115" zoomScalePageLayoutView="115" workbookViewId="0" topLeftCell="B1">
      <selection activeCell="E19" sqref="E19"/>
    </sheetView>
  </sheetViews>
  <sheetFormatPr defaultColWidth="9.140625" defaultRowHeight="12.75"/>
  <cols>
    <col min="1" max="1" width="21.28125" style="51" customWidth="1"/>
    <col min="2" max="2" width="13.421875" style="51" customWidth="1"/>
    <col min="3" max="3" width="11.7109375" style="51" customWidth="1"/>
    <col min="4" max="4" width="12.28125" style="51" customWidth="1"/>
    <col min="5" max="5" width="12.00390625" style="51" customWidth="1"/>
    <col min="6" max="6" width="12.28125" style="51" customWidth="1"/>
    <col min="7" max="7" width="12.140625" style="51" customWidth="1"/>
    <col min="8" max="8" width="12.7109375" style="51" bestFit="1" customWidth="1"/>
    <col min="9" max="9" width="12.28125" style="51" customWidth="1"/>
    <col min="10" max="11" width="11.57421875" style="51" customWidth="1"/>
    <col min="12" max="12" width="11.8515625" style="51" customWidth="1"/>
    <col min="13" max="13" width="12.140625" style="51" customWidth="1"/>
    <col min="14" max="14" width="12.8515625" style="51" customWidth="1"/>
    <col min="15" max="15" width="11.421875" style="52" bestFit="1" customWidth="1"/>
    <col min="16" max="16384" width="9.140625" style="51" customWidth="1"/>
  </cols>
  <sheetData>
    <row r="1" ht="12.75">
      <c r="B1" s="68" t="s">
        <v>6</v>
      </c>
    </row>
    <row r="2" ht="8.25" customHeight="1"/>
    <row r="3" spans="1:2" ht="12.75">
      <c r="A3" s="49" t="s">
        <v>6</v>
      </c>
      <c r="B3" s="50" t="s">
        <v>69</v>
      </c>
    </row>
    <row r="4" ht="12.75">
      <c r="N4" s="53"/>
    </row>
    <row r="5" spans="2:14" ht="12.75">
      <c r="B5" s="52"/>
      <c r="C5" s="51" t="s">
        <v>140</v>
      </c>
      <c r="N5" s="53"/>
    </row>
    <row r="6" spans="3:9" ht="12.75">
      <c r="C6" s="51" t="s">
        <v>1</v>
      </c>
      <c r="F6" s="54">
        <v>0</v>
      </c>
      <c r="G6" s="51" t="s">
        <v>2</v>
      </c>
      <c r="H6" s="54">
        <v>0</v>
      </c>
      <c r="I6" s="51" t="s">
        <v>174</v>
      </c>
    </row>
    <row r="7" spans="3:9" ht="12.75">
      <c r="C7" s="51" t="s">
        <v>3</v>
      </c>
      <c r="F7" s="55">
        <f>10*12</f>
        <v>120</v>
      </c>
      <c r="G7" s="51" t="s">
        <v>4</v>
      </c>
      <c r="H7" s="54">
        <v>0</v>
      </c>
      <c r="I7" s="51" t="s">
        <v>201</v>
      </c>
    </row>
    <row r="8" spans="3:6" ht="12.75">
      <c r="C8" s="51" t="s">
        <v>139</v>
      </c>
      <c r="E8" s="53">
        <v>0</v>
      </c>
      <c r="F8" s="192">
        <f>E8/(E8+E9)</f>
        <v>0</v>
      </c>
    </row>
    <row r="9" spans="3:6" ht="12.75">
      <c r="C9" s="51" t="s">
        <v>109</v>
      </c>
      <c r="E9" s="53">
        <v>40000000</v>
      </c>
      <c r="F9" s="192">
        <f>1-F8</f>
        <v>1</v>
      </c>
    </row>
    <row r="10" spans="3:8" ht="12.75">
      <c r="C10" s="51" t="s">
        <v>141</v>
      </c>
      <c r="F10" s="190">
        <v>147.72</v>
      </c>
      <c r="G10" s="69"/>
      <c r="H10" s="69"/>
    </row>
    <row r="11" spans="2:14" ht="12.75">
      <c r="B11" s="52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2.75">
      <c r="A12" s="57"/>
      <c r="B12" s="57" t="s">
        <v>7</v>
      </c>
      <c r="C12" s="58" t="s">
        <v>13</v>
      </c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0</v>
      </c>
    </row>
    <row r="13" spans="1:15" ht="12.75">
      <c r="A13" s="59" t="s">
        <v>5</v>
      </c>
      <c r="B13" s="60">
        <v>40000000</v>
      </c>
      <c r="C13" s="59"/>
      <c r="N13" s="59"/>
      <c r="O13" s="61"/>
    </row>
    <row r="14" spans="1:15" s="53" customFormat="1" ht="12.75">
      <c r="A14" s="62" t="s">
        <v>8</v>
      </c>
      <c r="B14" s="62"/>
      <c r="C14" s="53">
        <f>B13</f>
        <v>40000000</v>
      </c>
      <c r="D14" s="62">
        <f>C14-C15</f>
        <v>40000000</v>
      </c>
      <c r="E14" s="62">
        <f aca="true" t="shared" si="0" ref="E14:N14">D14-D15</f>
        <v>40000000</v>
      </c>
      <c r="F14" s="62">
        <f t="shared" si="0"/>
        <v>40000000</v>
      </c>
      <c r="G14" s="62">
        <f t="shared" si="0"/>
        <v>40000000</v>
      </c>
      <c r="H14" s="62">
        <f t="shared" si="0"/>
        <v>40000000</v>
      </c>
      <c r="I14" s="62">
        <f t="shared" si="0"/>
        <v>40000000</v>
      </c>
      <c r="J14" s="62">
        <f t="shared" si="0"/>
        <v>40000000</v>
      </c>
      <c r="K14" s="62">
        <f t="shared" si="0"/>
        <v>40000000</v>
      </c>
      <c r="L14" s="62">
        <f t="shared" si="0"/>
        <v>40000000</v>
      </c>
      <c r="M14" s="62">
        <f t="shared" si="0"/>
        <v>40000000</v>
      </c>
      <c r="N14" s="62">
        <f t="shared" si="0"/>
        <v>40000000</v>
      </c>
      <c r="O14" s="63"/>
    </row>
    <row r="15" spans="1:15" s="53" customFormat="1" ht="12.75">
      <c r="A15" s="62" t="s">
        <v>9</v>
      </c>
      <c r="B15" s="62"/>
      <c r="C15" s="62"/>
      <c r="D15" s="62"/>
      <c r="E15" s="62"/>
      <c r="F15" s="62"/>
      <c r="G15" s="62"/>
      <c r="H15" s="62"/>
      <c r="I15" s="62">
        <f>((E8/10/12*7)-(E8/10/12))/114+(E8/10/12)</f>
        <v>0</v>
      </c>
      <c r="J15" s="62">
        <f>I15</f>
        <v>0</v>
      </c>
      <c r="K15" s="62">
        <f>J15</f>
        <v>0</v>
      </c>
      <c r="L15" s="62">
        <f>K15</f>
        <v>0</v>
      </c>
      <c r="M15" s="62">
        <f>L15</f>
        <v>0</v>
      </c>
      <c r="N15" s="62">
        <f>M15</f>
        <v>0</v>
      </c>
      <c r="O15" s="63">
        <f>SUM(C15:N15)</f>
        <v>0</v>
      </c>
    </row>
    <row r="16" spans="1:15" s="53" customFormat="1" ht="12.75">
      <c r="A16" s="62" t="s">
        <v>10</v>
      </c>
      <c r="B16" s="62"/>
      <c r="C16" s="62">
        <f>E8*F6/12</f>
        <v>0</v>
      </c>
      <c r="D16" s="62">
        <f>C16</f>
        <v>0</v>
      </c>
      <c r="E16" s="62">
        <f aca="true" t="shared" si="1" ref="E16:N16">D16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3">
        <f>SUM(C16:N16)</f>
        <v>0</v>
      </c>
    </row>
    <row r="17" spans="1:15" s="65" customFormat="1" ht="12.75">
      <c r="A17" s="64" t="s">
        <v>11</v>
      </c>
      <c r="B17" s="64"/>
      <c r="C17" s="64">
        <f>SUM(C15:C16)</f>
        <v>0</v>
      </c>
      <c r="D17" s="64">
        <f aca="true" t="shared" si="2" ref="D17:N17">SUM(D15:D16)</f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64">
        <f t="shared" si="2"/>
        <v>0</v>
      </c>
      <c r="M17" s="64">
        <f t="shared" si="2"/>
        <v>0</v>
      </c>
      <c r="N17" s="64">
        <f t="shared" si="2"/>
        <v>0</v>
      </c>
      <c r="O17" s="63">
        <f>SUM(C17:N17)</f>
        <v>0</v>
      </c>
    </row>
    <row r="18" spans="2:15" ht="12.75">
      <c r="B18" s="52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6"/>
    </row>
    <row r="19" spans="1:15" ht="12.75">
      <c r="A19" s="57"/>
      <c r="B19" s="57" t="s">
        <v>7</v>
      </c>
      <c r="C19" s="58" t="s">
        <v>13</v>
      </c>
      <c r="D19" s="58" t="s">
        <v>14</v>
      </c>
      <c r="E19" s="58" t="s">
        <v>15</v>
      </c>
      <c r="F19" s="58" t="s">
        <v>16</v>
      </c>
      <c r="G19" s="58" t="s">
        <v>17</v>
      </c>
      <c r="H19" s="58" t="s">
        <v>18</v>
      </c>
      <c r="I19" s="58" t="s">
        <v>19</v>
      </c>
      <c r="J19" s="58" t="s">
        <v>20</v>
      </c>
      <c r="K19" s="58" t="s">
        <v>21</v>
      </c>
      <c r="L19" s="58" t="s">
        <v>22</v>
      </c>
      <c r="M19" s="58" t="s">
        <v>23</v>
      </c>
      <c r="N19" s="58" t="s">
        <v>24</v>
      </c>
      <c r="O19" s="58" t="s">
        <v>0</v>
      </c>
    </row>
    <row r="20" spans="1:15" ht="12.75">
      <c r="A20" s="59" t="s">
        <v>5</v>
      </c>
      <c r="B20" s="60">
        <f>N14-N15</f>
        <v>40000000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1:15" s="53" customFormat="1" ht="12.75">
      <c r="A21" s="62" t="s">
        <v>8</v>
      </c>
      <c r="B21" s="62"/>
      <c r="C21" s="62">
        <f>B20</f>
        <v>40000000</v>
      </c>
      <c r="D21" s="62">
        <f>C21-C22</f>
        <v>40000000</v>
      </c>
      <c r="E21" s="62">
        <f aca="true" t="shared" si="3" ref="E21:N21">D21-D22</f>
        <v>40000000</v>
      </c>
      <c r="F21" s="62">
        <f t="shared" si="3"/>
        <v>40000000</v>
      </c>
      <c r="G21" s="62">
        <f t="shared" si="3"/>
        <v>40000000</v>
      </c>
      <c r="H21" s="62">
        <f t="shared" si="3"/>
        <v>40000000</v>
      </c>
      <c r="I21" s="62">
        <f t="shared" si="3"/>
        <v>40000000</v>
      </c>
      <c r="J21" s="62">
        <f t="shared" si="3"/>
        <v>40000000</v>
      </c>
      <c r="K21" s="62">
        <f t="shared" si="3"/>
        <v>40000000</v>
      </c>
      <c r="L21" s="62">
        <f t="shared" si="3"/>
        <v>40000000</v>
      </c>
      <c r="M21" s="62">
        <f t="shared" si="3"/>
        <v>40000000</v>
      </c>
      <c r="N21" s="62">
        <f t="shared" si="3"/>
        <v>40000000</v>
      </c>
      <c r="O21" s="63"/>
    </row>
    <row r="22" spans="1:15" s="53" customFormat="1" ht="12.75">
      <c r="A22" s="62" t="s">
        <v>9</v>
      </c>
      <c r="B22" s="62"/>
      <c r="C22" s="62">
        <f>N15</f>
        <v>0</v>
      </c>
      <c r="D22" s="62">
        <f>C22</f>
        <v>0</v>
      </c>
      <c r="E22" s="62">
        <f aca="true" t="shared" si="4" ref="E22:N22">D22</f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3">
        <f>SUM(C22:N22)</f>
        <v>0</v>
      </c>
    </row>
    <row r="23" spans="1:15" s="53" customFormat="1" ht="12.75">
      <c r="A23" s="62" t="s">
        <v>10</v>
      </c>
      <c r="B23" s="62"/>
      <c r="C23" s="62">
        <f>B20*F6/12</f>
        <v>0</v>
      </c>
      <c r="D23" s="62">
        <f>C23</f>
        <v>0</v>
      </c>
      <c r="E23" s="62">
        <f aca="true" t="shared" si="5" ref="E23:N23">D23</f>
        <v>0</v>
      </c>
      <c r="F23" s="62">
        <f t="shared" si="5"/>
        <v>0</v>
      </c>
      <c r="G23" s="62">
        <f t="shared" si="5"/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3">
        <f>SUM(C23:N23)</f>
        <v>0</v>
      </c>
    </row>
    <row r="24" spans="1:15" s="65" customFormat="1" ht="12.75">
      <c r="A24" s="64" t="s">
        <v>11</v>
      </c>
      <c r="B24" s="64"/>
      <c r="C24" s="64">
        <f>SUM(C22:C23)</f>
        <v>0</v>
      </c>
      <c r="D24" s="64">
        <f aca="true" t="shared" si="6" ref="D24:N24">SUM(D22:D23)</f>
        <v>0</v>
      </c>
      <c r="E24" s="64">
        <f t="shared" si="6"/>
        <v>0</v>
      </c>
      <c r="F24" s="64">
        <f t="shared" si="6"/>
        <v>0</v>
      </c>
      <c r="G24" s="64">
        <f t="shared" si="6"/>
        <v>0</v>
      </c>
      <c r="H24" s="64">
        <f t="shared" si="6"/>
        <v>0</v>
      </c>
      <c r="I24" s="64">
        <f t="shared" si="6"/>
        <v>0</v>
      </c>
      <c r="J24" s="64">
        <f t="shared" si="6"/>
        <v>0</v>
      </c>
      <c r="K24" s="64">
        <f t="shared" si="6"/>
        <v>0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64">
        <f>SUM(C24:N24)</f>
        <v>0</v>
      </c>
    </row>
    <row r="25" spans="2:14" ht="12.75">
      <c r="B25" s="52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ht="12.75">
      <c r="A26" s="57"/>
      <c r="B26" s="57" t="s">
        <v>7</v>
      </c>
      <c r="C26" s="58" t="s">
        <v>13</v>
      </c>
      <c r="D26" s="58" t="s">
        <v>14</v>
      </c>
      <c r="E26" s="58" t="s">
        <v>15</v>
      </c>
      <c r="F26" s="58" t="s">
        <v>16</v>
      </c>
      <c r="G26" s="58" t="s">
        <v>17</v>
      </c>
      <c r="H26" s="58" t="s">
        <v>18</v>
      </c>
      <c r="I26" s="58" t="s">
        <v>19</v>
      </c>
      <c r="J26" s="58" t="s">
        <v>20</v>
      </c>
      <c r="K26" s="58" t="s">
        <v>21</v>
      </c>
      <c r="L26" s="58" t="s">
        <v>22</v>
      </c>
      <c r="M26" s="58" t="s">
        <v>23</v>
      </c>
      <c r="N26" s="58" t="s">
        <v>24</v>
      </c>
      <c r="O26" s="58" t="s">
        <v>0</v>
      </c>
    </row>
    <row r="27" spans="1:15" ht="12.75">
      <c r="A27" s="59" t="s">
        <v>5</v>
      </c>
      <c r="B27" s="60">
        <f>N21-N22</f>
        <v>40000000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</row>
    <row r="28" spans="1:15" s="53" customFormat="1" ht="12.75">
      <c r="A28" s="62" t="s">
        <v>8</v>
      </c>
      <c r="B28" s="62"/>
      <c r="C28" s="62">
        <f>B27</f>
        <v>40000000</v>
      </c>
      <c r="D28" s="62">
        <f>C28-C29</f>
        <v>40000000</v>
      </c>
      <c r="E28" s="62">
        <f aca="true" t="shared" si="7" ref="E28:N28">D28-D29</f>
        <v>40000000</v>
      </c>
      <c r="F28" s="62">
        <f t="shared" si="7"/>
        <v>40000000</v>
      </c>
      <c r="G28" s="62">
        <f t="shared" si="7"/>
        <v>40000000</v>
      </c>
      <c r="H28" s="62">
        <f t="shared" si="7"/>
        <v>40000000</v>
      </c>
      <c r="I28" s="62">
        <f t="shared" si="7"/>
        <v>40000000</v>
      </c>
      <c r="J28" s="62">
        <f t="shared" si="7"/>
        <v>40000000</v>
      </c>
      <c r="K28" s="62">
        <f t="shared" si="7"/>
        <v>40000000</v>
      </c>
      <c r="L28" s="62">
        <f t="shared" si="7"/>
        <v>40000000</v>
      </c>
      <c r="M28" s="62">
        <f t="shared" si="7"/>
        <v>40000000</v>
      </c>
      <c r="N28" s="62">
        <f t="shared" si="7"/>
        <v>40000000</v>
      </c>
      <c r="O28" s="63"/>
    </row>
    <row r="29" spans="1:15" s="53" customFormat="1" ht="12.75">
      <c r="A29" s="62" t="s">
        <v>9</v>
      </c>
      <c r="B29" s="62"/>
      <c r="C29" s="62">
        <f>C22</f>
        <v>0</v>
      </c>
      <c r="D29" s="62">
        <f>C29</f>
        <v>0</v>
      </c>
      <c r="E29" s="62">
        <f aca="true" t="shared" si="8" ref="E29:N29">D29</f>
        <v>0</v>
      </c>
      <c r="F29" s="62">
        <f t="shared" si="8"/>
        <v>0</v>
      </c>
      <c r="G29" s="62">
        <f t="shared" si="8"/>
        <v>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62">
        <f t="shared" si="8"/>
        <v>0</v>
      </c>
      <c r="L29" s="62">
        <f t="shared" si="8"/>
        <v>0</v>
      </c>
      <c r="M29" s="62">
        <f t="shared" si="8"/>
        <v>0</v>
      </c>
      <c r="N29" s="62">
        <f t="shared" si="8"/>
        <v>0</v>
      </c>
      <c r="O29" s="63">
        <f>SUM(C29:N29)</f>
        <v>0</v>
      </c>
    </row>
    <row r="30" spans="1:15" s="53" customFormat="1" ht="12.75">
      <c r="A30" s="62" t="s">
        <v>10</v>
      </c>
      <c r="B30" s="62"/>
      <c r="C30" s="62">
        <f>B27*F6/12</f>
        <v>0</v>
      </c>
      <c r="D30" s="62">
        <f>C30</f>
        <v>0</v>
      </c>
      <c r="E30" s="62">
        <f aca="true" t="shared" si="9" ref="E30:N30">D30</f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3">
        <f>SUM(C30:N30)</f>
        <v>0</v>
      </c>
    </row>
    <row r="31" spans="1:15" s="65" customFormat="1" ht="12.75">
      <c r="A31" s="64" t="s">
        <v>11</v>
      </c>
      <c r="B31" s="64"/>
      <c r="C31" s="64">
        <f>SUM(C29:C30)</f>
        <v>0</v>
      </c>
      <c r="D31" s="64">
        <f aca="true" t="shared" si="10" ref="D31:N31">SUM(D29:D30)</f>
        <v>0</v>
      </c>
      <c r="E31" s="64">
        <f t="shared" si="10"/>
        <v>0</v>
      </c>
      <c r="F31" s="64">
        <f t="shared" si="10"/>
        <v>0</v>
      </c>
      <c r="G31" s="64">
        <f t="shared" si="10"/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>SUM(C31:N31)</f>
        <v>0</v>
      </c>
    </row>
    <row r="32" spans="2:14" ht="12.75">
      <c r="B32" s="52" t="s">
        <v>31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 ht="12.75">
      <c r="A33" s="57"/>
      <c r="B33" s="57" t="s">
        <v>7</v>
      </c>
      <c r="C33" s="58" t="s">
        <v>13</v>
      </c>
      <c r="D33" s="58" t="s">
        <v>14</v>
      </c>
      <c r="E33" s="58" t="s">
        <v>15</v>
      </c>
      <c r="F33" s="58" t="s">
        <v>16</v>
      </c>
      <c r="G33" s="58" t="s">
        <v>17</v>
      </c>
      <c r="H33" s="58" t="s">
        <v>18</v>
      </c>
      <c r="I33" s="58" t="s">
        <v>19</v>
      </c>
      <c r="J33" s="58" t="s">
        <v>20</v>
      </c>
      <c r="K33" s="58" t="s">
        <v>21</v>
      </c>
      <c r="L33" s="58" t="s">
        <v>22</v>
      </c>
      <c r="M33" s="58" t="s">
        <v>23</v>
      </c>
      <c r="N33" s="58" t="s">
        <v>24</v>
      </c>
      <c r="O33" s="58" t="s">
        <v>0</v>
      </c>
    </row>
    <row r="34" spans="1:15" ht="12.75">
      <c r="A34" s="59" t="s">
        <v>5</v>
      </c>
      <c r="B34" s="60">
        <f>N28-N29</f>
        <v>40000000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</row>
    <row r="35" spans="1:15" ht="12.75">
      <c r="A35" s="62" t="s">
        <v>8</v>
      </c>
      <c r="B35" s="62"/>
      <c r="C35" s="62">
        <f>B34</f>
        <v>40000000</v>
      </c>
      <c r="D35" s="62">
        <f>C35-C36</f>
        <v>40000000</v>
      </c>
      <c r="E35" s="62">
        <f aca="true" t="shared" si="11" ref="E35:N35">D35-D36</f>
        <v>40000000</v>
      </c>
      <c r="F35" s="62">
        <f t="shared" si="11"/>
        <v>40000000</v>
      </c>
      <c r="G35" s="62">
        <f t="shared" si="11"/>
        <v>40000000</v>
      </c>
      <c r="H35" s="62">
        <f t="shared" si="11"/>
        <v>40000000</v>
      </c>
      <c r="I35" s="62">
        <f t="shared" si="11"/>
        <v>40000000</v>
      </c>
      <c r="J35" s="62">
        <f t="shared" si="11"/>
        <v>40000000</v>
      </c>
      <c r="K35" s="62">
        <f t="shared" si="11"/>
        <v>40000000</v>
      </c>
      <c r="L35" s="62">
        <f t="shared" si="11"/>
        <v>40000000</v>
      </c>
      <c r="M35" s="62">
        <f t="shared" si="11"/>
        <v>40000000</v>
      </c>
      <c r="N35" s="62">
        <f t="shared" si="11"/>
        <v>40000000</v>
      </c>
      <c r="O35" s="63"/>
    </row>
    <row r="36" spans="1:15" ht="12.75">
      <c r="A36" s="62" t="s">
        <v>9</v>
      </c>
      <c r="B36" s="62"/>
      <c r="C36" s="62">
        <f>C29</f>
        <v>0</v>
      </c>
      <c r="D36" s="62">
        <f>C36</f>
        <v>0</v>
      </c>
      <c r="E36" s="62">
        <f aca="true" t="shared" si="12" ref="E36:N36">D36</f>
        <v>0</v>
      </c>
      <c r="F36" s="62">
        <f t="shared" si="12"/>
        <v>0</v>
      </c>
      <c r="G36" s="62">
        <f t="shared" si="12"/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62">
        <f t="shared" si="12"/>
        <v>0</v>
      </c>
      <c r="L36" s="62">
        <f t="shared" si="12"/>
        <v>0</v>
      </c>
      <c r="M36" s="62">
        <f t="shared" si="12"/>
        <v>0</v>
      </c>
      <c r="N36" s="62">
        <f t="shared" si="12"/>
        <v>0</v>
      </c>
      <c r="O36" s="63">
        <f>SUM(C36:N36)</f>
        <v>0</v>
      </c>
    </row>
    <row r="37" spans="1:15" ht="12.75">
      <c r="A37" s="62" t="s">
        <v>10</v>
      </c>
      <c r="B37" s="62"/>
      <c r="C37" s="62">
        <f>B34*F6/12</f>
        <v>0</v>
      </c>
      <c r="D37" s="62">
        <f>C37</f>
        <v>0</v>
      </c>
      <c r="E37" s="62">
        <f aca="true" t="shared" si="13" ref="E37:N37">D37</f>
        <v>0</v>
      </c>
      <c r="F37" s="62">
        <f t="shared" si="13"/>
        <v>0</v>
      </c>
      <c r="G37" s="62">
        <f t="shared" si="13"/>
        <v>0</v>
      </c>
      <c r="H37" s="62">
        <f t="shared" si="13"/>
        <v>0</v>
      </c>
      <c r="I37" s="62">
        <f t="shared" si="13"/>
        <v>0</v>
      </c>
      <c r="J37" s="62">
        <f t="shared" si="13"/>
        <v>0</v>
      </c>
      <c r="K37" s="62">
        <f t="shared" si="13"/>
        <v>0</v>
      </c>
      <c r="L37" s="62">
        <f t="shared" si="13"/>
        <v>0</v>
      </c>
      <c r="M37" s="62">
        <f t="shared" si="13"/>
        <v>0</v>
      </c>
      <c r="N37" s="62">
        <f t="shared" si="13"/>
        <v>0</v>
      </c>
      <c r="O37" s="63">
        <f>SUM(C37:N37)</f>
        <v>0</v>
      </c>
    </row>
    <row r="38" spans="1:15" ht="12.75">
      <c r="A38" s="64" t="s">
        <v>11</v>
      </c>
      <c r="B38" s="64"/>
      <c r="C38" s="64">
        <f>SUM(C36:C37)</f>
        <v>0</v>
      </c>
      <c r="D38" s="64">
        <f aca="true" t="shared" si="14" ref="D38:N38">SUM(D36:D37)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64">
        <f t="shared" si="14"/>
        <v>0</v>
      </c>
      <c r="O38" s="64">
        <f>SUM(C38:N38)</f>
        <v>0</v>
      </c>
    </row>
    <row r="39" spans="2:14" ht="12.75">
      <c r="B39" s="52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 ht="12.75">
      <c r="A40" s="57"/>
      <c r="B40" s="57" t="s">
        <v>7</v>
      </c>
      <c r="C40" s="58" t="s">
        <v>13</v>
      </c>
      <c r="D40" s="58" t="s">
        <v>14</v>
      </c>
      <c r="E40" s="58" t="s">
        <v>15</v>
      </c>
      <c r="F40" s="58" t="s">
        <v>16</v>
      </c>
      <c r="G40" s="58" t="s">
        <v>17</v>
      </c>
      <c r="H40" s="58" t="s">
        <v>18</v>
      </c>
      <c r="I40" s="58" t="s">
        <v>19</v>
      </c>
      <c r="J40" s="58" t="s">
        <v>20</v>
      </c>
      <c r="K40" s="58" t="s">
        <v>21</v>
      </c>
      <c r="L40" s="58" t="s">
        <v>22</v>
      </c>
      <c r="M40" s="58" t="s">
        <v>23</v>
      </c>
      <c r="N40" s="58" t="s">
        <v>24</v>
      </c>
      <c r="O40" s="58" t="s">
        <v>0</v>
      </c>
    </row>
    <row r="41" spans="1:15" ht="12.75">
      <c r="A41" s="59" t="s">
        <v>5</v>
      </c>
      <c r="B41" s="60">
        <f>N35-N36</f>
        <v>40000000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1"/>
    </row>
    <row r="42" spans="1:15" ht="12.75">
      <c r="A42" s="62" t="s">
        <v>8</v>
      </c>
      <c r="B42" s="62"/>
      <c r="C42" s="62">
        <f>B41</f>
        <v>40000000</v>
      </c>
      <c r="D42" s="62">
        <f>C42-C43</f>
        <v>40000000</v>
      </c>
      <c r="E42" s="62">
        <f aca="true" t="shared" si="15" ref="E42:N42">D42-D43</f>
        <v>40000000</v>
      </c>
      <c r="F42" s="62">
        <f t="shared" si="15"/>
        <v>40000000</v>
      </c>
      <c r="G42" s="62">
        <f t="shared" si="15"/>
        <v>40000000</v>
      </c>
      <c r="H42" s="62">
        <f t="shared" si="15"/>
        <v>40000000</v>
      </c>
      <c r="I42" s="62">
        <f t="shared" si="15"/>
        <v>40000000</v>
      </c>
      <c r="J42" s="62">
        <f t="shared" si="15"/>
        <v>40000000</v>
      </c>
      <c r="K42" s="62">
        <f t="shared" si="15"/>
        <v>40000000</v>
      </c>
      <c r="L42" s="62">
        <f t="shared" si="15"/>
        <v>40000000</v>
      </c>
      <c r="M42" s="62">
        <f t="shared" si="15"/>
        <v>40000000</v>
      </c>
      <c r="N42" s="62">
        <f t="shared" si="15"/>
        <v>40000000</v>
      </c>
      <c r="O42" s="63"/>
    </row>
    <row r="43" spans="1:15" ht="12.75">
      <c r="A43" s="62" t="s">
        <v>9</v>
      </c>
      <c r="B43" s="62"/>
      <c r="C43" s="62">
        <f>C36</f>
        <v>0</v>
      </c>
      <c r="D43" s="62">
        <f>C43</f>
        <v>0</v>
      </c>
      <c r="E43" s="62">
        <f aca="true" t="shared" si="16" ref="E43:N43">D43</f>
        <v>0</v>
      </c>
      <c r="F43" s="62">
        <f t="shared" si="16"/>
        <v>0</v>
      </c>
      <c r="G43" s="62">
        <f t="shared" si="16"/>
        <v>0</v>
      </c>
      <c r="H43" s="62">
        <f t="shared" si="16"/>
        <v>0</v>
      </c>
      <c r="I43" s="62">
        <f t="shared" si="16"/>
        <v>0</v>
      </c>
      <c r="J43" s="62">
        <f t="shared" si="16"/>
        <v>0</v>
      </c>
      <c r="K43" s="62">
        <f t="shared" si="16"/>
        <v>0</v>
      </c>
      <c r="L43" s="62">
        <f t="shared" si="16"/>
        <v>0</v>
      </c>
      <c r="M43" s="62">
        <f t="shared" si="16"/>
        <v>0</v>
      </c>
      <c r="N43" s="62">
        <f t="shared" si="16"/>
        <v>0</v>
      </c>
      <c r="O43" s="63">
        <f>SUM(C43:N43)</f>
        <v>0</v>
      </c>
    </row>
    <row r="44" spans="1:15" ht="12.75">
      <c r="A44" s="62" t="s">
        <v>10</v>
      </c>
      <c r="B44" s="62"/>
      <c r="C44" s="62">
        <f>B41*F6/12</f>
        <v>0</v>
      </c>
      <c r="D44" s="62">
        <f>C44</f>
        <v>0</v>
      </c>
      <c r="E44" s="62">
        <f aca="true" t="shared" si="17" ref="E44:N44">D44</f>
        <v>0</v>
      </c>
      <c r="F44" s="62">
        <f t="shared" si="17"/>
        <v>0</v>
      </c>
      <c r="G44" s="62">
        <f t="shared" si="17"/>
        <v>0</v>
      </c>
      <c r="H44" s="62">
        <f t="shared" si="17"/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3">
        <f>SUM(C44:N44)</f>
        <v>0</v>
      </c>
    </row>
    <row r="45" spans="1:15" ht="12.75">
      <c r="A45" s="64" t="s">
        <v>11</v>
      </c>
      <c r="B45" s="64"/>
      <c r="C45" s="64">
        <f aca="true" t="shared" si="18" ref="C45:N45">SUM(C43:C44)</f>
        <v>0</v>
      </c>
      <c r="D45" s="64">
        <f t="shared" si="18"/>
        <v>0</v>
      </c>
      <c r="E45" s="64">
        <f t="shared" si="18"/>
        <v>0</v>
      </c>
      <c r="F45" s="64">
        <f t="shared" si="18"/>
        <v>0</v>
      </c>
      <c r="G45" s="64">
        <f t="shared" si="18"/>
        <v>0</v>
      </c>
      <c r="H45" s="64">
        <f t="shared" si="18"/>
        <v>0</v>
      </c>
      <c r="I45" s="64">
        <f t="shared" si="18"/>
        <v>0</v>
      </c>
      <c r="J45" s="64">
        <f t="shared" si="18"/>
        <v>0</v>
      </c>
      <c r="K45" s="64">
        <f t="shared" si="18"/>
        <v>0</v>
      </c>
      <c r="L45" s="64">
        <f t="shared" si="18"/>
        <v>0</v>
      </c>
      <c r="M45" s="64">
        <f t="shared" si="18"/>
        <v>0</v>
      </c>
      <c r="N45" s="64">
        <f t="shared" si="18"/>
        <v>0</v>
      </c>
      <c r="O45" s="64">
        <f>SUM(C45:N45)</f>
        <v>0</v>
      </c>
    </row>
    <row r="46" spans="2:14" ht="12.75">
      <c r="B46" s="52" t="s">
        <v>120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ht="12.75">
      <c r="A47" s="57"/>
      <c r="B47" s="57" t="s">
        <v>7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8" t="s">
        <v>19</v>
      </c>
      <c r="J47" s="58" t="s">
        <v>20</v>
      </c>
      <c r="K47" s="58" t="s">
        <v>21</v>
      </c>
      <c r="L47" s="58" t="s">
        <v>22</v>
      </c>
      <c r="M47" s="58" t="s">
        <v>23</v>
      </c>
      <c r="N47" s="58" t="s">
        <v>24</v>
      </c>
      <c r="O47" s="58" t="s">
        <v>0</v>
      </c>
    </row>
    <row r="48" spans="1:15" ht="12.75">
      <c r="A48" s="59" t="s">
        <v>5</v>
      </c>
      <c r="B48" s="60">
        <f>N42-N43</f>
        <v>40000000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1"/>
    </row>
    <row r="49" spans="1:15" ht="12.75">
      <c r="A49" s="62" t="s">
        <v>8</v>
      </c>
      <c r="B49" s="62"/>
      <c r="C49" s="62">
        <f>B48</f>
        <v>40000000</v>
      </c>
      <c r="D49" s="62">
        <f>C49-C50</f>
        <v>40000000</v>
      </c>
      <c r="E49" s="62">
        <f aca="true" t="shared" si="19" ref="E49:N49">D49-D50</f>
        <v>40000000</v>
      </c>
      <c r="F49" s="62">
        <f t="shared" si="19"/>
        <v>40000000</v>
      </c>
      <c r="G49" s="62">
        <f t="shared" si="19"/>
        <v>40000000</v>
      </c>
      <c r="H49" s="62">
        <f t="shared" si="19"/>
        <v>40000000</v>
      </c>
      <c r="I49" s="62">
        <f t="shared" si="19"/>
        <v>40000000</v>
      </c>
      <c r="J49" s="62">
        <f t="shared" si="19"/>
        <v>40000000</v>
      </c>
      <c r="K49" s="62">
        <f t="shared" si="19"/>
        <v>40000000</v>
      </c>
      <c r="L49" s="62">
        <f t="shared" si="19"/>
        <v>40000000</v>
      </c>
      <c r="M49" s="62">
        <f t="shared" si="19"/>
        <v>40000000</v>
      </c>
      <c r="N49" s="62">
        <f t="shared" si="19"/>
        <v>40000000</v>
      </c>
      <c r="O49" s="90"/>
    </row>
    <row r="50" spans="1:15" ht="12.75">
      <c r="A50" s="62" t="s">
        <v>9</v>
      </c>
      <c r="B50" s="62"/>
      <c r="C50" s="62">
        <f>C43</f>
        <v>0</v>
      </c>
      <c r="D50" s="62">
        <f>C50</f>
        <v>0</v>
      </c>
      <c r="E50" s="62">
        <f aca="true" t="shared" si="20" ref="E50:N50">D50</f>
        <v>0</v>
      </c>
      <c r="F50" s="62">
        <f t="shared" si="20"/>
        <v>0</v>
      </c>
      <c r="G50" s="62">
        <f t="shared" si="20"/>
        <v>0</v>
      </c>
      <c r="H50" s="62">
        <f t="shared" si="20"/>
        <v>0</v>
      </c>
      <c r="I50" s="62">
        <f t="shared" si="20"/>
        <v>0</v>
      </c>
      <c r="J50" s="62">
        <f t="shared" si="20"/>
        <v>0</v>
      </c>
      <c r="K50" s="62">
        <f t="shared" si="20"/>
        <v>0</v>
      </c>
      <c r="L50" s="62">
        <f t="shared" si="20"/>
        <v>0</v>
      </c>
      <c r="M50" s="62">
        <f t="shared" si="20"/>
        <v>0</v>
      </c>
      <c r="N50" s="62">
        <f t="shared" si="20"/>
        <v>0</v>
      </c>
      <c r="O50" s="63">
        <f>SUM(C50:N50)</f>
        <v>0</v>
      </c>
    </row>
    <row r="51" spans="1:15" ht="12.75">
      <c r="A51" s="62" t="s">
        <v>10</v>
      </c>
      <c r="C51" s="62">
        <f>B48*F6/12</f>
        <v>0</v>
      </c>
      <c r="D51" s="62">
        <f>C51</f>
        <v>0</v>
      </c>
      <c r="E51" s="62">
        <f aca="true" t="shared" si="21" ref="E51:N51">D51</f>
        <v>0</v>
      </c>
      <c r="F51" s="62">
        <f t="shared" si="21"/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0</v>
      </c>
      <c r="L51" s="62">
        <f t="shared" si="21"/>
        <v>0</v>
      </c>
      <c r="M51" s="62">
        <f t="shared" si="21"/>
        <v>0</v>
      </c>
      <c r="N51" s="62">
        <f t="shared" si="21"/>
        <v>0</v>
      </c>
      <c r="O51" s="63">
        <f>SUM(C51:N51)</f>
        <v>0</v>
      </c>
    </row>
    <row r="52" spans="1:15" ht="12.75">
      <c r="A52" s="64" t="s">
        <v>11</v>
      </c>
      <c r="B52" s="64"/>
      <c r="C52" s="64">
        <f aca="true" t="shared" si="22" ref="C52:N52">SUM(C50:C51)</f>
        <v>0</v>
      </c>
      <c r="D52" s="64">
        <f t="shared" si="22"/>
        <v>0</v>
      </c>
      <c r="E52" s="64">
        <f t="shared" si="22"/>
        <v>0</v>
      </c>
      <c r="F52" s="64">
        <f t="shared" si="22"/>
        <v>0</v>
      </c>
      <c r="G52" s="64">
        <f t="shared" si="22"/>
        <v>0</v>
      </c>
      <c r="H52" s="64">
        <f t="shared" si="22"/>
        <v>0</v>
      </c>
      <c r="I52" s="64">
        <f t="shared" si="22"/>
        <v>0</v>
      </c>
      <c r="J52" s="64">
        <f t="shared" si="22"/>
        <v>0</v>
      </c>
      <c r="K52" s="64">
        <f t="shared" si="22"/>
        <v>0</v>
      </c>
      <c r="L52" s="64">
        <f t="shared" si="22"/>
        <v>0</v>
      </c>
      <c r="M52" s="64">
        <f t="shared" si="22"/>
        <v>0</v>
      </c>
      <c r="N52" s="64">
        <f t="shared" si="22"/>
        <v>0</v>
      </c>
      <c r="O52" s="64">
        <f>SUM(C52:N52)</f>
        <v>0</v>
      </c>
    </row>
    <row r="53" spans="2:14" ht="12.75">
      <c r="B53" s="52" t="s">
        <v>122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5" ht="12.75">
      <c r="A54" s="57"/>
      <c r="B54" s="57" t="s">
        <v>7</v>
      </c>
      <c r="C54" s="58" t="s">
        <v>13</v>
      </c>
      <c r="D54" s="58" t="s">
        <v>14</v>
      </c>
      <c r="E54" s="58" t="s">
        <v>15</v>
      </c>
      <c r="F54" s="58" t="s">
        <v>16</v>
      </c>
      <c r="G54" s="58" t="s">
        <v>17</v>
      </c>
      <c r="H54" s="58" t="s">
        <v>18</v>
      </c>
      <c r="I54" s="58" t="s">
        <v>19</v>
      </c>
      <c r="J54" s="58" t="s">
        <v>20</v>
      </c>
      <c r="K54" s="58" t="s">
        <v>21</v>
      </c>
      <c r="L54" s="58" t="s">
        <v>22</v>
      </c>
      <c r="M54" s="58" t="s">
        <v>23</v>
      </c>
      <c r="N54" s="58" t="s">
        <v>24</v>
      </c>
      <c r="O54" s="58" t="s">
        <v>0</v>
      </c>
    </row>
    <row r="55" spans="1:15" ht="12.75">
      <c r="A55" s="59" t="s">
        <v>5</v>
      </c>
      <c r="B55" s="60">
        <f>N49-N50</f>
        <v>40000000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1"/>
    </row>
    <row r="56" spans="1:15" ht="12.75">
      <c r="A56" s="62" t="s">
        <v>8</v>
      </c>
      <c r="B56" s="62"/>
      <c r="C56" s="62">
        <f>B55</f>
        <v>40000000</v>
      </c>
      <c r="D56" s="62">
        <f>C56-C57</f>
        <v>40000000</v>
      </c>
      <c r="E56" s="62">
        <f aca="true" t="shared" si="23" ref="E56:N56">D56-D57</f>
        <v>40000000</v>
      </c>
      <c r="F56" s="62">
        <f t="shared" si="23"/>
        <v>40000000</v>
      </c>
      <c r="G56" s="62">
        <f t="shared" si="23"/>
        <v>40000000</v>
      </c>
      <c r="H56" s="62">
        <f t="shared" si="23"/>
        <v>40000000</v>
      </c>
      <c r="I56" s="62">
        <f t="shared" si="23"/>
        <v>40000000</v>
      </c>
      <c r="J56" s="62">
        <f t="shared" si="23"/>
        <v>40000000</v>
      </c>
      <c r="K56" s="62">
        <f t="shared" si="23"/>
        <v>40000000</v>
      </c>
      <c r="L56" s="62">
        <f t="shared" si="23"/>
        <v>40000000</v>
      </c>
      <c r="M56" s="62">
        <f t="shared" si="23"/>
        <v>40000000</v>
      </c>
      <c r="N56" s="62">
        <f t="shared" si="23"/>
        <v>40000000</v>
      </c>
      <c r="O56" s="90"/>
    </row>
    <row r="57" spans="1:15" ht="12.75">
      <c r="A57" s="62" t="s">
        <v>9</v>
      </c>
      <c r="B57" s="62"/>
      <c r="C57" s="62">
        <f>C50</f>
        <v>0</v>
      </c>
      <c r="D57" s="62">
        <f>C57</f>
        <v>0</v>
      </c>
      <c r="E57" s="62">
        <f aca="true" t="shared" si="24" ref="E57:N57">D57</f>
        <v>0</v>
      </c>
      <c r="F57" s="62">
        <f t="shared" si="24"/>
        <v>0</v>
      </c>
      <c r="G57" s="62">
        <f t="shared" si="24"/>
        <v>0</v>
      </c>
      <c r="H57" s="62">
        <f t="shared" si="24"/>
        <v>0</v>
      </c>
      <c r="I57" s="62">
        <f t="shared" si="24"/>
        <v>0</v>
      </c>
      <c r="J57" s="62">
        <f t="shared" si="24"/>
        <v>0</v>
      </c>
      <c r="K57" s="62">
        <f t="shared" si="24"/>
        <v>0</v>
      </c>
      <c r="L57" s="62">
        <f t="shared" si="24"/>
        <v>0</v>
      </c>
      <c r="M57" s="62">
        <f t="shared" si="24"/>
        <v>0</v>
      </c>
      <c r="N57" s="62">
        <f t="shared" si="24"/>
        <v>0</v>
      </c>
      <c r="O57" s="63">
        <f>SUM(C57:N57)</f>
        <v>0</v>
      </c>
    </row>
    <row r="58" spans="1:15" ht="12.75">
      <c r="A58" s="62" t="s">
        <v>10</v>
      </c>
      <c r="C58" s="62">
        <f>B55*F6/12</f>
        <v>0</v>
      </c>
      <c r="D58" s="62">
        <f>C58</f>
        <v>0</v>
      </c>
      <c r="E58" s="62">
        <f aca="true" t="shared" si="25" ref="E58:N58">D58</f>
        <v>0</v>
      </c>
      <c r="F58" s="62">
        <f t="shared" si="25"/>
        <v>0</v>
      </c>
      <c r="G58" s="62">
        <f t="shared" si="25"/>
        <v>0</v>
      </c>
      <c r="H58" s="62">
        <f t="shared" si="25"/>
        <v>0</v>
      </c>
      <c r="I58" s="62">
        <f t="shared" si="25"/>
        <v>0</v>
      </c>
      <c r="J58" s="62">
        <f t="shared" si="25"/>
        <v>0</v>
      </c>
      <c r="K58" s="62">
        <f t="shared" si="25"/>
        <v>0</v>
      </c>
      <c r="L58" s="62">
        <f t="shared" si="25"/>
        <v>0</v>
      </c>
      <c r="M58" s="62">
        <f t="shared" si="25"/>
        <v>0</v>
      </c>
      <c r="N58" s="62">
        <f t="shared" si="25"/>
        <v>0</v>
      </c>
      <c r="O58" s="63">
        <f>SUM(C58:N58)</f>
        <v>0</v>
      </c>
    </row>
    <row r="59" spans="1:15" ht="12.75">
      <c r="A59" s="64" t="s">
        <v>11</v>
      </c>
      <c r="B59" s="64"/>
      <c r="C59" s="64">
        <f aca="true" t="shared" si="26" ref="C59:N59">SUM(C57:C58)</f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 t="shared" si="26"/>
        <v>0</v>
      </c>
      <c r="N59" s="64">
        <f t="shared" si="26"/>
        <v>0</v>
      </c>
      <c r="O59" s="64">
        <f>SUM(C59:N59)</f>
        <v>0</v>
      </c>
    </row>
    <row r="60" spans="2:14" ht="12.75">
      <c r="B60" s="52" t="s">
        <v>142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5" ht="12.75">
      <c r="A61" s="57"/>
      <c r="B61" s="57" t="s">
        <v>7</v>
      </c>
      <c r="C61" s="58" t="s">
        <v>13</v>
      </c>
      <c r="D61" s="58" t="s">
        <v>14</v>
      </c>
      <c r="E61" s="58" t="s">
        <v>15</v>
      </c>
      <c r="F61" s="58" t="s">
        <v>16</v>
      </c>
      <c r="G61" s="58" t="s">
        <v>17</v>
      </c>
      <c r="H61" s="58" t="s">
        <v>18</v>
      </c>
      <c r="I61" s="58" t="s">
        <v>19</v>
      </c>
      <c r="J61" s="58" t="s">
        <v>20</v>
      </c>
      <c r="K61" s="58" t="s">
        <v>21</v>
      </c>
      <c r="L61" s="58" t="s">
        <v>22</v>
      </c>
      <c r="M61" s="58" t="s">
        <v>23</v>
      </c>
      <c r="N61" s="58" t="s">
        <v>24</v>
      </c>
      <c r="O61" s="58" t="s">
        <v>0</v>
      </c>
    </row>
    <row r="62" spans="1:15" ht="12.75">
      <c r="A62" s="59" t="s">
        <v>5</v>
      </c>
      <c r="B62" s="60">
        <f>N56-N57</f>
        <v>40000000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1"/>
    </row>
    <row r="63" spans="1:15" ht="12.75">
      <c r="A63" s="62" t="s">
        <v>8</v>
      </c>
      <c r="B63" s="62"/>
      <c r="C63" s="62">
        <f>B62</f>
        <v>40000000</v>
      </c>
      <c r="D63" s="62">
        <f>C63-C64</f>
        <v>40000000</v>
      </c>
      <c r="E63" s="62">
        <f aca="true" t="shared" si="27" ref="E63:M63">D63-D64</f>
        <v>40000000</v>
      </c>
      <c r="F63" s="62">
        <f t="shared" si="27"/>
        <v>40000000</v>
      </c>
      <c r="G63" s="62">
        <f t="shared" si="27"/>
        <v>40000000</v>
      </c>
      <c r="H63" s="62">
        <f t="shared" si="27"/>
        <v>40000000</v>
      </c>
      <c r="I63" s="62">
        <f t="shared" si="27"/>
        <v>40000000</v>
      </c>
      <c r="J63" s="62">
        <f t="shared" si="27"/>
        <v>40000000</v>
      </c>
      <c r="K63" s="62">
        <f t="shared" si="27"/>
        <v>40000000</v>
      </c>
      <c r="L63" s="62">
        <f t="shared" si="27"/>
        <v>40000000</v>
      </c>
      <c r="M63" s="62">
        <f t="shared" si="27"/>
        <v>40000000</v>
      </c>
      <c r="N63" s="62">
        <f>M63-M64</f>
        <v>40000000</v>
      </c>
      <c r="O63" s="90"/>
    </row>
    <row r="64" spans="1:15" ht="12.75">
      <c r="A64" s="62" t="s">
        <v>9</v>
      </c>
      <c r="B64" s="62"/>
      <c r="C64" s="62">
        <f>C57</f>
        <v>0</v>
      </c>
      <c r="D64" s="62">
        <f>C64</f>
        <v>0</v>
      </c>
      <c r="E64" s="62">
        <f aca="true" t="shared" si="28" ref="E64:N64">D64</f>
        <v>0</v>
      </c>
      <c r="F64" s="62">
        <f t="shared" si="28"/>
        <v>0</v>
      </c>
      <c r="G64" s="62">
        <f t="shared" si="28"/>
        <v>0</v>
      </c>
      <c r="H64" s="62">
        <f t="shared" si="28"/>
        <v>0</v>
      </c>
      <c r="I64" s="62">
        <f t="shared" si="28"/>
        <v>0</v>
      </c>
      <c r="J64" s="6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62">
        <f t="shared" si="28"/>
        <v>0</v>
      </c>
      <c r="O64" s="63">
        <f>SUM(C64:N64)</f>
        <v>0</v>
      </c>
    </row>
    <row r="65" spans="1:15" ht="12.75">
      <c r="A65" s="62" t="s">
        <v>10</v>
      </c>
      <c r="B65" s="62"/>
      <c r="C65" s="62">
        <f>B62*F6/12</f>
        <v>0</v>
      </c>
      <c r="D65" s="62">
        <f>C65</f>
        <v>0</v>
      </c>
      <c r="E65" s="62">
        <f aca="true" t="shared" si="29" ref="E65:N65">D65</f>
        <v>0</v>
      </c>
      <c r="F65" s="62">
        <f t="shared" si="29"/>
        <v>0</v>
      </c>
      <c r="G65" s="62">
        <f t="shared" si="29"/>
        <v>0</v>
      </c>
      <c r="H65" s="62">
        <f t="shared" si="29"/>
        <v>0</v>
      </c>
      <c r="I65" s="62">
        <f t="shared" si="29"/>
        <v>0</v>
      </c>
      <c r="J65" s="62">
        <f t="shared" si="29"/>
        <v>0</v>
      </c>
      <c r="K65" s="62">
        <f t="shared" si="29"/>
        <v>0</v>
      </c>
      <c r="L65" s="62">
        <f t="shared" si="29"/>
        <v>0</v>
      </c>
      <c r="M65" s="62">
        <f t="shared" si="29"/>
        <v>0</v>
      </c>
      <c r="N65" s="62">
        <f t="shared" si="29"/>
        <v>0</v>
      </c>
      <c r="O65" s="63">
        <f>SUM(C65:N65)</f>
        <v>0</v>
      </c>
    </row>
    <row r="66" spans="1:15" ht="12.75">
      <c r="A66" s="64" t="s">
        <v>11</v>
      </c>
      <c r="B66" s="64"/>
      <c r="C66" s="64">
        <f aca="true" t="shared" si="30" ref="C66:N66">SUM(C64:C65)</f>
        <v>0</v>
      </c>
      <c r="D66" s="64">
        <f t="shared" si="30"/>
        <v>0</v>
      </c>
      <c r="E66" s="64">
        <f t="shared" si="30"/>
        <v>0</v>
      </c>
      <c r="F66" s="64">
        <f t="shared" si="30"/>
        <v>0</v>
      </c>
      <c r="G66" s="64">
        <f t="shared" si="30"/>
        <v>0</v>
      </c>
      <c r="H66" s="64">
        <f t="shared" si="30"/>
        <v>0</v>
      </c>
      <c r="I66" s="64">
        <f t="shared" si="30"/>
        <v>0</v>
      </c>
      <c r="J66" s="64">
        <f t="shared" si="30"/>
        <v>0</v>
      </c>
      <c r="K66" s="64">
        <f t="shared" si="30"/>
        <v>0</v>
      </c>
      <c r="L66" s="64">
        <f t="shared" si="30"/>
        <v>0</v>
      </c>
      <c r="M66" s="64">
        <f t="shared" si="30"/>
        <v>0</v>
      </c>
      <c r="N66" s="64">
        <f t="shared" si="30"/>
        <v>0</v>
      </c>
      <c r="O66" s="64">
        <f>SUM(C66:N66)</f>
        <v>0</v>
      </c>
    </row>
    <row r="67" spans="2:14" ht="12.75">
      <c r="B67" s="52" t="s">
        <v>143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5" ht="12.75">
      <c r="A68" s="57"/>
      <c r="B68" s="57" t="s">
        <v>7</v>
      </c>
      <c r="C68" s="58" t="s">
        <v>13</v>
      </c>
      <c r="D68" s="58" t="s">
        <v>14</v>
      </c>
      <c r="E68" s="58" t="s">
        <v>15</v>
      </c>
      <c r="F68" s="58" t="s">
        <v>16</v>
      </c>
      <c r="G68" s="58" t="s">
        <v>17</v>
      </c>
      <c r="H68" s="58" t="s">
        <v>18</v>
      </c>
      <c r="I68" s="58" t="s">
        <v>19</v>
      </c>
      <c r="J68" s="58" t="s">
        <v>20</v>
      </c>
      <c r="K68" s="58" t="s">
        <v>21</v>
      </c>
      <c r="L68" s="58" t="s">
        <v>22</v>
      </c>
      <c r="M68" s="58" t="s">
        <v>23</v>
      </c>
      <c r="N68" s="58" t="s">
        <v>24</v>
      </c>
      <c r="O68" s="58" t="s">
        <v>0</v>
      </c>
    </row>
    <row r="69" spans="1:15" ht="12.75">
      <c r="A69" s="59" t="s">
        <v>5</v>
      </c>
      <c r="B69" s="60">
        <f>N63-N64</f>
        <v>40000000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1"/>
    </row>
    <row r="70" spans="1:15" ht="12.75">
      <c r="A70" s="62" t="s">
        <v>8</v>
      </c>
      <c r="B70" s="90"/>
      <c r="C70" s="62">
        <f>B69</f>
        <v>40000000</v>
      </c>
      <c r="D70" s="62">
        <f>C70-C71</f>
        <v>40000000</v>
      </c>
      <c r="E70" s="62">
        <f aca="true" t="shared" si="31" ref="E70:N70">D70-D71</f>
        <v>40000000</v>
      </c>
      <c r="F70" s="62">
        <f t="shared" si="31"/>
        <v>40000000</v>
      </c>
      <c r="G70" s="62">
        <f t="shared" si="31"/>
        <v>40000000</v>
      </c>
      <c r="H70" s="62">
        <f t="shared" si="31"/>
        <v>40000000</v>
      </c>
      <c r="I70" s="62">
        <f t="shared" si="31"/>
        <v>40000000</v>
      </c>
      <c r="J70" s="62">
        <f t="shared" si="31"/>
        <v>40000000</v>
      </c>
      <c r="K70" s="62">
        <f t="shared" si="31"/>
        <v>40000000</v>
      </c>
      <c r="L70" s="62">
        <f t="shared" si="31"/>
        <v>40000000</v>
      </c>
      <c r="M70" s="62">
        <f t="shared" si="31"/>
        <v>40000000</v>
      </c>
      <c r="N70" s="62">
        <f t="shared" si="31"/>
        <v>40000000</v>
      </c>
      <c r="O70" s="90"/>
    </row>
    <row r="71" spans="1:15" ht="12.75">
      <c r="A71" s="62" t="s">
        <v>9</v>
      </c>
      <c r="B71" s="62"/>
      <c r="C71" s="62">
        <f>C64</f>
        <v>0</v>
      </c>
      <c r="D71" s="62">
        <f>C71</f>
        <v>0</v>
      </c>
      <c r="E71" s="62">
        <f aca="true" t="shared" si="32" ref="E71:N71">D71</f>
        <v>0</v>
      </c>
      <c r="F71" s="62">
        <f t="shared" si="32"/>
        <v>0</v>
      </c>
      <c r="G71" s="62">
        <f t="shared" si="32"/>
        <v>0</v>
      </c>
      <c r="H71" s="62">
        <f t="shared" si="32"/>
        <v>0</v>
      </c>
      <c r="I71" s="62">
        <f t="shared" si="32"/>
        <v>0</v>
      </c>
      <c r="J71" s="62">
        <f t="shared" si="32"/>
        <v>0</v>
      </c>
      <c r="K71" s="62">
        <f t="shared" si="32"/>
        <v>0</v>
      </c>
      <c r="L71" s="62">
        <f t="shared" si="32"/>
        <v>0</v>
      </c>
      <c r="M71" s="62">
        <f t="shared" si="32"/>
        <v>0</v>
      </c>
      <c r="N71" s="62">
        <f t="shared" si="32"/>
        <v>0</v>
      </c>
      <c r="O71" s="63">
        <f>SUM(C71:N71)</f>
        <v>0</v>
      </c>
    </row>
    <row r="72" spans="1:15" ht="12.75">
      <c r="A72" s="62" t="s">
        <v>10</v>
      </c>
      <c r="B72" s="62"/>
      <c r="C72" s="62">
        <f>B69*F6/12</f>
        <v>0</v>
      </c>
      <c r="D72" s="62">
        <f>C72</f>
        <v>0</v>
      </c>
      <c r="E72" s="62">
        <f aca="true" t="shared" si="33" ref="E72:N72">D72</f>
        <v>0</v>
      </c>
      <c r="F72" s="62">
        <f t="shared" si="33"/>
        <v>0</v>
      </c>
      <c r="G72" s="62">
        <f t="shared" si="33"/>
        <v>0</v>
      </c>
      <c r="H72" s="62">
        <f t="shared" si="33"/>
        <v>0</v>
      </c>
      <c r="I72" s="62">
        <f t="shared" si="33"/>
        <v>0</v>
      </c>
      <c r="J72" s="6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62">
        <f t="shared" si="33"/>
        <v>0</v>
      </c>
      <c r="O72" s="63">
        <f>SUM(C72:N72)</f>
        <v>0</v>
      </c>
    </row>
    <row r="73" spans="1:15" ht="12.75">
      <c r="A73" s="64" t="s">
        <v>11</v>
      </c>
      <c r="B73" s="64"/>
      <c r="C73" s="64">
        <f aca="true" t="shared" si="34" ref="C73:N73">SUM(C71:C72)</f>
        <v>0</v>
      </c>
      <c r="D73" s="64">
        <f t="shared" si="34"/>
        <v>0</v>
      </c>
      <c r="E73" s="64">
        <f t="shared" si="34"/>
        <v>0</v>
      </c>
      <c r="F73" s="64">
        <f t="shared" si="34"/>
        <v>0</v>
      </c>
      <c r="G73" s="64">
        <f t="shared" si="34"/>
        <v>0</v>
      </c>
      <c r="H73" s="64">
        <f t="shared" si="34"/>
        <v>0</v>
      </c>
      <c r="I73" s="64">
        <f t="shared" si="34"/>
        <v>0</v>
      </c>
      <c r="J73" s="64">
        <f t="shared" si="34"/>
        <v>0</v>
      </c>
      <c r="K73" s="64">
        <f t="shared" si="34"/>
        <v>0</v>
      </c>
      <c r="L73" s="64">
        <f t="shared" si="34"/>
        <v>0</v>
      </c>
      <c r="M73" s="64">
        <f t="shared" si="34"/>
        <v>0</v>
      </c>
      <c r="N73" s="64">
        <f t="shared" si="34"/>
        <v>0</v>
      </c>
      <c r="O73" s="64">
        <f>SUM(C73:N73)</f>
        <v>0</v>
      </c>
    </row>
    <row r="74" spans="2:14" ht="12.75">
      <c r="B74" s="52" t="s">
        <v>144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5" ht="12.75">
      <c r="A75" s="57"/>
      <c r="B75" s="57" t="s">
        <v>7</v>
      </c>
      <c r="C75" s="58" t="s">
        <v>13</v>
      </c>
      <c r="D75" s="58" t="s">
        <v>14</v>
      </c>
      <c r="E75" s="58" t="s">
        <v>15</v>
      </c>
      <c r="F75" s="58" t="s">
        <v>16</v>
      </c>
      <c r="G75" s="58" t="s">
        <v>17</v>
      </c>
      <c r="H75" s="58" t="s">
        <v>18</v>
      </c>
      <c r="I75" s="58" t="s">
        <v>19</v>
      </c>
      <c r="J75" s="58" t="s">
        <v>20</v>
      </c>
      <c r="K75" s="58" t="s">
        <v>21</v>
      </c>
      <c r="L75" s="58" t="s">
        <v>22</v>
      </c>
      <c r="M75" s="58" t="s">
        <v>23</v>
      </c>
      <c r="N75" s="58" t="s">
        <v>24</v>
      </c>
      <c r="O75" s="58" t="s">
        <v>0</v>
      </c>
    </row>
    <row r="76" spans="1:15" ht="12.75">
      <c r="A76" s="59" t="s">
        <v>5</v>
      </c>
      <c r="B76" s="60">
        <f>N70-N71</f>
        <v>40000000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1"/>
    </row>
    <row r="77" spans="1:15" ht="12.75">
      <c r="A77" s="62" t="s">
        <v>8</v>
      </c>
      <c r="B77" s="62"/>
      <c r="C77" s="62">
        <f>B76</f>
        <v>40000000</v>
      </c>
      <c r="D77" s="62">
        <f>C77-C78</f>
        <v>40000000</v>
      </c>
      <c r="E77" s="62">
        <f aca="true" t="shared" si="35" ref="E77:N77">D77-D78</f>
        <v>40000000</v>
      </c>
      <c r="F77" s="62">
        <f t="shared" si="35"/>
        <v>40000000</v>
      </c>
      <c r="G77" s="62">
        <f t="shared" si="35"/>
        <v>40000000</v>
      </c>
      <c r="H77" s="62">
        <f t="shared" si="35"/>
        <v>40000000</v>
      </c>
      <c r="I77" s="62">
        <f t="shared" si="35"/>
        <v>40000000</v>
      </c>
      <c r="J77" s="62">
        <f t="shared" si="35"/>
        <v>40000000</v>
      </c>
      <c r="K77" s="62">
        <f t="shared" si="35"/>
        <v>40000000</v>
      </c>
      <c r="L77" s="62">
        <f t="shared" si="35"/>
        <v>40000000</v>
      </c>
      <c r="M77" s="62">
        <f t="shared" si="35"/>
        <v>40000000</v>
      </c>
      <c r="N77" s="62">
        <f t="shared" si="35"/>
        <v>40000000</v>
      </c>
      <c r="O77" s="90"/>
    </row>
    <row r="78" spans="1:15" ht="12.75">
      <c r="A78" s="62" t="s">
        <v>9</v>
      </c>
      <c r="B78" s="62"/>
      <c r="C78" s="62">
        <f>C71</f>
        <v>0</v>
      </c>
      <c r="D78" s="62">
        <f>C78</f>
        <v>0</v>
      </c>
      <c r="E78" s="62">
        <f aca="true" t="shared" si="36" ref="E78:N78">D78</f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62">
        <f t="shared" si="36"/>
        <v>0</v>
      </c>
      <c r="O78" s="63">
        <f>SUM(C78:N78)</f>
        <v>0</v>
      </c>
    </row>
    <row r="79" spans="1:15" ht="12.75">
      <c r="A79" s="62" t="s">
        <v>10</v>
      </c>
      <c r="B79" s="62"/>
      <c r="C79" s="62">
        <f>B76*F6/12</f>
        <v>0</v>
      </c>
      <c r="D79" s="62">
        <f>C79</f>
        <v>0</v>
      </c>
      <c r="E79" s="62">
        <f aca="true" t="shared" si="37" ref="E79:N79">D79</f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63">
        <f>SUM(C79:N79)</f>
        <v>0</v>
      </c>
    </row>
    <row r="80" spans="1:15" ht="12.75">
      <c r="A80" s="64" t="s">
        <v>11</v>
      </c>
      <c r="B80" s="64"/>
      <c r="C80" s="64">
        <f aca="true" t="shared" si="38" ref="C80:N80">SUM(C78:C79)</f>
        <v>0</v>
      </c>
      <c r="D80" s="64">
        <f t="shared" si="38"/>
        <v>0</v>
      </c>
      <c r="E80" s="64">
        <f t="shared" si="38"/>
        <v>0</v>
      </c>
      <c r="F80" s="64">
        <f t="shared" si="38"/>
        <v>0</v>
      </c>
      <c r="G80" s="64">
        <f t="shared" si="38"/>
        <v>0</v>
      </c>
      <c r="H80" s="64">
        <f t="shared" si="38"/>
        <v>0</v>
      </c>
      <c r="I80" s="64">
        <f t="shared" si="38"/>
        <v>0</v>
      </c>
      <c r="J80" s="64">
        <f t="shared" si="38"/>
        <v>0</v>
      </c>
      <c r="K80" s="64">
        <f t="shared" si="38"/>
        <v>0</v>
      </c>
      <c r="L80" s="64">
        <f t="shared" si="38"/>
        <v>0</v>
      </c>
      <c r="M80" s="64">
        <f t="shared" si="38"/>
        <v>0</v>
      </c>
      <c r="N80" s="64">
        <f t="shared" si="38"/>
        <v>0</v>
      </c>
      <c r="O80" s="64">
        <f>SUM(C80:N80)</f>
        <v>0</v>
      </c>
    </row>
    <row r="83" spans="5:9" ht="12.75">
      <c r="E83" s="67"/>
      <c r="I83" s="67"/>
    </row>
    <row r="99" ht="12.75">
      <c r="F99" s="67"/>
    </row>
  </sheetData>
  <sheetProtection/>
  <printOptions/>
  <pageMargins left="0.5511811023622047" right="0.2755905511811024" top="0.4330708661417323" bottom="0.4330708661417323" header="0.11811023622047245" footer="0.11811023622047245"/>
  <pageSetup fitToHeight="0" fitToWidth="1" horizontalDpi="600" verticalDpi="600" orientation="landscape" paperSize="9" scale="7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9" sqref="C9:C14"/>
    </sheetView>
  </sheetViews>
  <sheetFormatPr defaultColWidth="48.140625" defaultRowHeight="12.75"/>
  <cols>
    <col min="1" max="1" width="4.7109375" style="51" customWidth="1"/>
    <col min="2" max="2" width="48.140625" style="51" customWidth="1"/>
    <col min="3" max="6" width="12.7109375" style="51" customWidth="1"/>
    <col min="7" max="7" width="11.421875" style="51" customWidth="1"/>
    <col min="8" max="16384" width="48.140625" style="51" customWidth="1"/>
  </cols>
  <sheetData>
    <row r="1" ht="12.75">
      <c r="G1" s="51" t="s">
        <v>6</v>
      </c>
    </row>
    <row r="2" spans="1:7" ht="16.5">
      <c r="A2" s="254" t="s">
        <v>233</v>
      </c>
      <c r="B2" s="254"/>
      <c r="C2" s="254"/>
      <c r="D2" s="254"/>
      <c r="E2" s="254"/>
      <c r="F2" s="254"/>
      <c r="G2" s="254"/>
    </row>
    <row r="3" spans="6:7" ht="13.5">
      <c r="F3" s="224">
        <v>150</v>
      </c>
      <c r="G3" s="224" t="s">
        <v>231</v>
      </c>
    </row>
    <row r="4" spans="1:7" ht="12.75">
      <c r="A4" s="257" t="s">
        <v>74</v>
      </c>
      <c r="B4" s="257" t="s">
        <v>203</v>
      </c>
      <c r="C4" s="255" t="s">
        <v>204</v>
      </c>
      <c r="D4" s="255"/>
      <c r="E4" s="256" t="s">
        <v>205</v>
      </c>
      <c r="F4" s="256"/>
      <c r="G4" s="257" t="s">
        <v>229</v>
      </c>
    </row>
    <row r="5" spans="1:7" ht="12.75">
      <c r="A5" s="258"/>
      <c r="B5" s="258"/>
      <c r="C5" s="255"/>
      <c r="D5" s="255"/>
      <c r="E5" s="256" t="s">
        <v>232</v>
      </c>
      <c r="F5" s="256"/>
      <c r="G5" s="258"/>
    </row>
    <row r="6" spans="1:7" ht="12.75">
      <c r="A6" s="258"/>
      <c r="B6" s="258"/>
      <c r="C6" s="255" t="s">
        <v>206</v>
      </c>
      <c r="D6" s="255"/>
      <c r="E6" s="255" t="s">
        <v>206</v>
      </c>
      <c r="F6" s="255"/>
      <c r="G6" s="258"/>
    </row>
    <row r="7" spans="1:7" ht="12.75">
      <c r="A7" s="258"/>
      <c r="B7" s="258"/>
      <c r="C7" s="255" t="s">
        <v>207</v>
      </c>
      <c r="D7" s="256" t="s">
        <v>208</v>
      </c>
      <c r="E7" s="256" t="s">
        <v>207</v>
      </c>
      <c r="F7" s="220" t="s">
        <v>209</v>
      </c>
      <c r="G7" s="258"/>
    </row>
    <row r="8" spans="1:7" ht="12.75">
      <c r="A8" s="259"/>
      <c r="B8" s="259"/>
      <c r="C8" s="255"/>
      <c r="D8" s="256"/>
      <c r="E8" s="256"/>
      <c r="F8" s="220" t="s">
        <v>210</v>
      </c>
      <c r="G8" s="259"/>
    </row>
    <row r="9" spans="1:7" ht="12.75">
      <c r="A9" s="213">
        <v>1</v>
      </c>
      <c r="B9" s="150" t="s">
        <v>236</v>
      </c>
      <c r="C9" s="222">
        <v>1000000</v>
      </c>
      <c r="D9" s="222">
        <f>C9/F3</f>
        <v>6666.666666666667</v>
      </c>
      <c r="E9" s="222">
        <v>0</v>
      </c>
      <c r="F9" s="222">
        <f>E9/145</f>
        <v>0</v>
      </c>
      <c r="G9" s="249"/>
    </row>
    <row r="10" spans="1:7" ht="12.75">
      <c r="A10" s="213">
        <v>2</v>
      </c>
      <c r="B10" s="214" t="s">
        <v>294</v>
      </c>
      <c r="C10" s="215">
        <v>300000</v>
      </c>
      <c r="D10" s="215">
        <f>C10/$F$3</f>
        <v>2000</v>
      </c>
      <c r="E10" s="215"/>
      <c r="F10" s="215"/>
      <c r="G10" s="214"/>
    </row>
    <row r="11" spans="1:7" ht="12.75">
      <c r="A11" s="213">
        <v>3</v>
      </c>
      <c r="B11" s="214" t="s">
        <v>234</v>
      </c>
      <c r="C11" s="215">
        <v>900000</v>
      </c>
      <c r="D11" s="215">
        <f>C11/$F$3</f>
        <v>6000</v>
      </c>
      <c r="E11" s="216"/>
      <c r="F11" s="215"/>
      <c r="G11" s="221"/>
    </row>
    <row r="12" spans="1:7" ht="25.5">
      <c r="A12" s="213">
        <v>4</v>
      </c>
      <c r="B12" s="214" t="s">
        <v>211</v>
      </c>
      <c r="C12" s="215">
        <v>800000</v>
      </c>
      <c r="D12" s="215">
        <f>C12/$F$3</f>
        <v>5333.333333333333</v>
      </c>
      <c r="E12" s="215"/>
      <c r="F12" s="215"/>
      <c r="G12" s="214"/>
    </row>
    <row r="13" spans="1:7" ht="25.5">
      <c r="A13" s="213">
        <v>5</v>
      </c>
      <c r="B13" s="214" t="s">
        <v>288</v>
      </c>
      <c r="C13" s="215">
        <v>4355571</v>
      </c>
      <c r="D13" s="215">
        <f>C13/$F$3</f>
        <v>29037.14</v>
      </c>
      <c r="E13" s="215"/>
      <c r="F13" s="215"/>
      <c r="G13" s="214"/>
    </row>
    <row r="14" spans="1:7" ht="25.5">
      <c r="A14" s="213">
        <v>6</v>
      </c>
      <c r="B14" s="214" t="s">
        <v>235</v>
      </c>
      <c r="C14" s="215">
        <v>500000</v>
      </c>
      <c r="D14" s="215">
        <f>C14/$F$3</f>
        <v>3333.3333333333335</v>
      </c>
      <c r="E14" s="215"/>
      <c r="F14" s="215"/>
      <c r="G14" s="214"/>
    </row>
    <row r="15" spans="1:7" ht="25.5">
      <c r="A15" s="213">
        <v>7</v>
      </c>
      <c r="B15" s="221" t="s">
        <v>283</v>
      </c>
      <c r="C15" s="215">
        <f>'6.ОПУ'!N26+'6.ОПУ'!N15</f>
        <v>40780758</v>
      </c>
      <c r="D15" s="222">
        <f>C15/F3</f>
        <v>271871.72</v>
      </c>
      <c r="E15" s="222"/>
      <c r="F15" s="222"/>
      <c r="G15" s="221"/>
    </row>
    <row r="16" spans="1:7" ht="12.75">
      <c r="A16" s="217"/>
      <c r="B16" s="218" t="s">
        <v>212</v>
      </c>
      <c r="C16" s="219">
        <f>SUM(C9:C15)</f>
        <v>48636329</v>
      </c>
      <c r="D16" s="219">
        <f>SUM(D9:D15)</f>
        <v>324242.1933333333</v>
      </c>
      <c r="E16" s="219">
        <f>SUM(E9:E15)</f>
        <v>0</v>
      </c>
      <c r="F16" s="219">
        <f>SUM(F9:F15)</f>
        <v>0</v>
      </c>
      <c r="G16" s="218"/>
    </row>
    <row r="17" spans="1:7" ht="12.75" hidden="1">
      <c r="A17" s="217"/>
      <c r="B17" s="218" t="s">
        <v>230</v>
      </c>
      <c r="C17" s="219"/>
      <c r="D17" s="219"/>
      <c r="E17" s="219">
        <f>SUM(E9:E9)</f>
        <v>0</v>
      </c>
      <c r="F17" s="219">
        <f>SUM(F9:F9)</f>
        <v>0</v>
      </c>
      <c r="G17" s="218"/>
    </row>
    <row r="18" spans="1:7" ht="12.75">
      <c r="A18" s="217"/>
      <c r="B18" s="218" t="s">
        <v>281</v>
      </c>
      <c r="C18" s="219">
        <f>C16-C17</f>
        <v>48636329</v>
      </c>
      <c r="D18" s="219">
        <f>D16-D17</f>
        <v>324242.1933333333</v>
      </c>
      <c r="E18" s="219"/>
      <c r="F18" s="219"/>
      <c r="G18" s="218"/>
    </row>
  </sheetData>
  <sheetProtection/>
  <mergeCells count="12">
    <mergeCell ref="C7:C8"/>
    <mergeCell ref="D7:D8"/>
    <mergeCell ref="E7:E8"/>
    <mergeCell ref="G4:G8"/>
    <mergeCell ref="A4:A8"/>
    <mergeCell ref="B4:B8"/>
    <mergeCell ref="C4:D5"/>
    <mergeCell ref="E4:F4"/>
    <mergeCell ref="A2:G2"/>
    <mergeCell ref="E5:F5"/>
    <mergeCell ref="C6:D6"/>
    <mergeCell ref="E6:F6"/>
  </mergeCells>
  <printOptions/>
  <pageMargins left="0.1968503937007874" right="0.3937007874015748" top="0.5905511811023623" bottom="0.3937007874015748" header="0.11811023622047245" footer="0.118110236220472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69" customWidth="1"/>
    <col min="2" max="2" width="40.8515625" style="69" bestFit="1" customWidth="1"/>
    <col min="3" max="3" width="11.28125" style="70" bestFit="1" customWidth="1"/>
    <col min="4" max="4" width="15.28125" style="70" bestFit="1" customWidth="1"/>
    <col min="5" max="5" width="13.00390625" style="70" customWidth="1"/>
    <col min="6" max="16384" width="9.140625" style="69" customWidth="1"/>
  </cols>
  <sheetData>
    <row r="1" ht="12.75">
      <c r="A1" s="68"/>
    </row>
    <row r="2" ht="2.25" customHeight="1"/>
    <row r="3" spans="1:5" ht="15.75">
      <c r="A3" s="71" t="s">
        <v>153</v>
      </c>
      <c r="B3" s="72"/>
      <c r="C3" s="73"/>
      <c r="D3" s="73"/>
      <c r="E3" s="73"/>
    </row>
    <row r="4" spans="1:5" ht="7.5" customHeight="1">
      <c r="A4" s="72"/>
      <c r="B4" s="72"/>
      <c r="C4" s="73"/>
      <c r="D4" s="73"/>
      <c r="E4" s="73"/>
    </row>
    <row r="5" spans="1:5" ht="15.75">
      <c r="A5" s="72" t="s">
        <v>70</v>
      </c>
      <c r="B5" s="74"/>
      <c r="C5" s="75">
        <f>C25</f>
        <v>14</v>
      </c>
      <c r="D5" s="75" t="s">
        <v>71</v>
      </c>
      <c r="E5" s="73"/>
    </row>
    <row r="6" spans="1:5" ht="15.75">
      <c r="A6" s="72" t="s">
        <v>72</v>
      </c>
      <c r="B6" s="74"/>
      <c r="C6" s="76">
        <f>E25</f>
        <v>790000</v>
      </c>
      <c r="D6" s="75" t="s">
        <v>73</v>
      </c>
      <c r="E6" s="73"/>
    </row>
    <row r="7" spans="1:5" ht="4.5" customHeight="1">
      <c r="A7" s="74"/>
      <c r="B7" s="74"/>
      <c r="C7" s="75"/>
      <c r="D7" s="75"/>
      <c r="E7" s="73"/>
    </row>
    <row r="8" spans="1:5" ht="25.5">
      <c r="A8" s="77" t="s">
        <v>74</v>
      </c>
      <c r="B8" s="77" t="s">
        <v>75</v>
      </c>
      <c r="C8" s="77" t="s">
        <v>145</v>
      </c>
      <c r="D8" s="77" t="s">
        <v>76</v>
      </c>
      <c r="E8" s="77" t="s">
        <v>77</v>
      </c>
    </row>
    <row r="9" spans="1:5" s="80" customFormat="1" ht="12.75" hidden="1">
      <c r="A9" s="78"/>
      <c r="B9" s="78" t="s">
        <v>80</v>
      </c>
      <c r="C9" s="78"/>
      <c r="D9" s="79"/>
      <c r="E9" s="79"/>
    </row>
    <row r="10" spans="1:5" ht="12.75">
      <c r="A10" s="81">
        <v>1</v>
      </c>
      <c r="B10" s="82" t="s">
        <v>78</v>
      </c>
      <c r="C10" s="81">
        <v>1</v>
      </c>
      <c r="D10" s="83">
        <v>140000</v>
      </c>
      <c r="E10" s="83">
        <f aca="true" t="shared" si="0" ref="E10:E18">C10*D10</f>
        <v>140000</v>
      </c>
    </row>
    <row r="11" spans="1:5" ht="12.75">
      <c r="A11" s="81">
        <v>2</v>
      </c>
      <c r="B11" s="82" t="s">
        <v>237</v>
      </c>
      <c r="C11" s="81">
        <v>1</v>
      </c>
      <c r="D11" s="83">
        <v>90000</v>
      </c>
      <c r="E11" s="83">
        <f t="shared" si="0"/>
        <v>90000</v>
      </c>
    </row>
    <row r="12" spans="1:5" ht="12.75">
      <c r="A12" s="81">
        <v>3</v>
      </c>
      <c r="B12" s="82" t="s">
        <v>238</v>
      </c>
      <c r="C12" s="81">
        <v>1</v>
      </c>
      <c r="D12" s="83">
        <v>70000</v>
      </c>
      <c r="E12" s="83">
        <f t="shared" si="0"/>
        <v>70000</v>
      </c>
    </row>
    <row r="13" spans="1:5" ht="12.75">
      <c r="A13" s="81">
        <v>4</v>
      </c>
      <c r="B13" s="82" t="s">
        <v>239</v>
      </c>
      <c r="C13" s="81">
        <v>3</v>
      </c>
      <c r="D13" s="83">
        <v>50000</v>
      </c>
      <c r="E13" s="83">
        <f t="shared" si="0"/>
        <v>150000</v>
      </c>
    </row>
    <row r="14" spans="1:5" ht="12.75">
      <c r="A14" s="81">
        <v>5</v>
      </c>
      <c r="B14" s="82" t="s">
        <v>240</v>
      </c>
      <c r="C14" s="81">
        <v>2</v>
      </c>
      <c r="D14" s="83">
        <v>30000</v>
      </c>
      <c r="E14" s="83">
        <f t="shared" si="0"/>
        <v>60000</v>
      </c>
    </row>
    <row r="15" spans="1:5" ht="12.75">
      <c r="A15" s="81">
        <v>6</v>
      </c>
      <c r="B15" s="82" t="s">
        <v>241</v>
      </c>
      <c r="C15" s="81">
        <v>1</v>
      </c>
      <c r="D15" s="83">
        <v>80000</v>
      </c>
      <c r="E15" s="83">
        <f t="shared" si="0"/>
        <v>80000</v>
      </c>
    </row>
    <row r="16" spans="1:5" ht="12.75">
      <c r="A16" s="81">
        <v>7</v>
      </c>
      <c r="B16" s="82" t="s">
        <v>242</v>
      </c>
      <c r="C16" s="81">
        <v>2</v>
      </c>
      <c r="D16" s="83">
        <v>40000</v>
      </c>
      <c r="E16" s="83">
        <f t="shared" si="0"/>
        <v>80000</v>
      </c>
    </row>
    <row r="17" spans="1:5" ht="12.75">
      <c r="A17" s="81">
        <v>8</v>
      </c>
      <c r="B17" s="82" t="s">
        <v>297</v>
      </c>
      <c r="C17" s="81">
        <v>1</v>
      </c>
      <c r="D17" s="83">
        <v>40000</v>
      </c>
      <c r="E17" s="83">
        <f t="shared" si="0"/>
        <v>40000</v>
      </c>
    </row>
    <row r="18" spans="1:5" ht="12.75">
      <c r="A18" s="81">
        <v>9</v>
      </c>
      <c r="B18" s="82" t="s">
        <v>243</v>
      </c>
      <c r="C18" s="81">
        <v>2</v>
      </c>
      <c r="D18" s="83">
        <v>40000</v>
      </c>
      <c r="E18" s="83">
        <f t="shared" si="0"/>
        <v>80000</v>
      </c>
    </row>
    <row r="19" spans="1:5" s="80" customFormat="1" ht="12.75">
      <c r="A19" s="78"/>
      <c r="B19" s="84" t="s">
        <v>79</v>
      </c>
      <c r="C19" s="78">
        <f>SUM(C10:C18)</f>
        <v>14</v>
      </c>
      <c r="D19" s="79"/>
      <c r="E19" s="79">
        <f>SUM(E10:E18)</f>
        <v>790000</v>
      </c>
    </row>
    <row r="20" spans="1:5" s="80" customFormat="1" ht="12.75" hidden="1">
      <c r="A20" s="78"/>
      <c r="B20" s="84"/>
      <c r="C20" s="78"/>
      <c r="D20" s="79"/>
      <c r="E20" s="79"/>
    </row>
    <row r="21" spans="1:5" s="80" customFormat="1" ht="12.75" hidden="1">
      <c r="A21" s="78"/>
      <c r="B21" s="78" t="s">
        <v>175</v>
      </c>
      <c r="C21" s="78"/>
      <c r="D21" s="79"/>
      <c r="E21" s="79"/>
    </row>
    <row r="22" spans="1:5" ht="12.75" hidden="1">
      <c r="A22" s="81">
        <v>7</v>
      </c>
      <c r="B22" s="82" t="s">
        <v>176</v>
      </c>
      <c r="C22" s="81">
        <v>0</v>
      </c>
      <c r="D22" s="83">
        <v>0</v>
      </c>
      <c r="E22" s="83">
        <f>C22*D22</f>
        <v>0</v>
      </c>
    </row>
    <row r="23" spans="1:5" ht="12.75" hidden="1">
      <c r="A23" s="81">
        <v>8</v>
      </c>
      <c r="B23" s="82" t="s">
        <v>177</v>
      </c>
      <c r="C23" s="81">
        <v>0</v>
      </c>
      <c r="D23" s="83">
        <v>0</v>
      </c>
      <c r="E23" s="83">
        <f>C23*D23</f>
        <v>0</v>
      </c>
    </row>
    <row r="24" spans="1:5" s="80" customFormat="1" ht="12.75" hidden="1">
      <c r="A24" s="78"/>
      <c r="B24" s="84" t="s">
        <v>79</v>
      </c>
      <c r="C24" s="78">
        <f>SUM(C22:C23)</f>
        <v>0</v>
      </c>
      <c r="D24" s="79"/>
      <c r="E24" s="79">
        <f>SUM(E22:E23)</f>
        <v>0</v>
      </c>
    </row>
    <row r="25" spans="1:5" s="88" customFormat="1" ht="12.75" hidden="1">
      <c r="A25" s="86"/>
      <c r="B25" s="87" t="s">
        <v>81</v>
      </c>
      <c r="C25" s="85">
        <f>C19+C24</f>
        <v>14</v>
      </c>
      <c r="D25" s="85"/>
      <c r="E25" s="85">
        <f>E19+E24</f>
        <v>790000</v>
      </c>
    </row>
    <row r="26" ht="12.75">
      <c r="C26" s="89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PageLayoutView="0" workbookViewId="0" topLeftCell="A4">
      <pane xSplit="1" topLeftCell="M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31.140625" style="92" customWidth="1"/>
    <col min="2" max="2" width="14.421875" style="92" customWidth="1"/>
    <col min="3" max="3" width="17.00390625" style="92" customWidth="1"/>
    <col min="4" max="4" width="17.7109375" style="92" customWidth="1"/>
    <col min="5" max="13" width="13.7109375" style="92" customWidth="1"/>
    <col min="14" max="14" width="16.140625" style="93" bestFit="1" customWidth="1"/>
    <col min="15" max="16384" width="9.140625" style="92" customWidth="1"/>
  </cols>
  <sheetData>
    <row r="1" spans="1:15" ht="15.75">
      <c r="A1" s="91"/>
      <c r="O1" s="94"/>
    </row>
    <row r="2" spans="1:16" ht="15.75">
      <c r="A2" s="91"/>
      <c r="O2" s="94"/>
      <c r="P2" s="94"/>
    </row>
    <row r="3" spans="1:16" ht="15.75">
      <c r="A3" s="71" t="s">
        <v>61</v>
      </c>
      <c r="C3" s="95"/>
      <c r="D3" s="96"/>
      <c r="E3" s="97"/>
      <c r="O3" s="94"/>
      <c r="P3" s="94"/>
    </row>
    <row r="4" spans="1:16" ht="15.75">
      <c r="A4" s="91"/>
      <c r="E4" s="98"/>
      <c r="O4" s="94"/>
      <c r="P4" s="94"/>
    </row>
    <row r="5" spans="1:16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O5" s="94"/>
      <c r="P5" s="94"/>
    </row>
    <row r="6" spans="1:16" ht="47.25">
      <c r="A6" s="104" t="s">
        <v>12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O6" s="94"/>
      <c r="P6" s="94"/>
    </row>
    <row r="7" spans="1:14" s="93" customFormat="1" ht="47.25">
      <c r="A7" s="246" t="s">
        <v>244</v>
      </c>
      <c r="B7" s="100">
        <f>B8*B9</f>
        <v>540000</v>
      </c>
      <c r="C7" s="100">
        <f aca="true" t="shared" si="0" ref="C7:M7">C8*C9</f>
        <v>600000</v>
      </c>
      <c r="D7" s="100">
        <f t="shared" si="0"/>
        <v>660000</v>
      </c>
      <c r="E7" s="100">
        <f t="shared" si="0"/>
        <v>720000</v>
      </c>
      <c r="F7" s="100">
        <f t="shared" si="0"/>
        <v>780000</v>
      </c>
      <c r="G7" s="100">
        <f t="shared" si="0"/>
        <v>720000</v>
      </c>
      <c r="H7" s="100">
        <f t="shared" si="0"/>
        <v>600000</v>
      </c>
      <c r="I7" s="100">
        <f t="shared" si="0"/>
        <v>360000</v>
      </c>
      <c r="J7" s="100">
        <f t="shared" si="0"/>
        <v>300000</v>
      </c>
      <c r="K7" s="100">
        <f t="shared" si="0"/>
        <v>240000</v>
      </c>
      <c r="L7" s="100">
        <f t="shared" si="0"/>
        <v>600000</v>
      </c>
      <c r="M7" s="100">
        <f t="shared" si="0"/>
        <v>900000</v>
      </c>
      <c r="N7" s="100">
        <f>SUM(B7:M7)</f>
        <v>7020000</v>
      </c>
    </row>
    <row r="8" spans="1:14" s="93" customFormat="1" ht="15.75">
      <c r="A8" s="105" t="s">
        <v>287</v>
      </c>
      <c r="B8" s="102">
        <f>90*3*4</f>
        <v>1080</v>
      </c>
      <c r="C8" s="102">
        <f>100*3*4</f>
        <v>1200</v>
      </c>
      <c r="D8" s="102">
        <f>110*3*4</f>
        <v>1320</v>
      </c>
      <c r="E8" s="102">
        <f>120*3*4</f>
        <v>1440</v>
      </c>
      <c r="F8" s="102">
        <f>130*3*4</f>
        <v>1560</v>
      </c>
      <c r="G8" s="102">
        <f>3*4*120</f>
        <v>1440</v>
      </c>
      <c r="H8" s="102">
        <f>3*4*100</f>
        <v>1200</v>
      </c>
      <c r="I8" s="102">
        <f>3*4*60</f>
        <v>720</v>
      </c>
      <c r="J8" s="102">
        <f>3*4*50</f>
        <v>600</v>
      </c>
      <c r="K8" s="102">
        <f>3*4*40</f>
        <v>480</v>
      </c>
      <c r="L8" s="102">
        <f>3*4*100</f>
        <v>1200</v>
      </c>
      <c r="M8" s="102">
        <f>3*4*150</f>
        <v>1800</v>
      </c>
      <c r="N8" s="100">
        <f>SUM(B8:M8)</f>
        <v>14040</v>
      </c>
    </row>
    <row r="9" spans="1:14" s="93" customFormat="1" ht="31.5">
      <c r="A9" s="247" t="s">
        <v>245</v>
      </c>
      <c r="B9" s="102">
        <v>500</v>
      </c>
      <c r="C9" s="102">
        <f>B9</f>
        <v>500</v>
      </c>
      <c r="D9" s="102">
        <f>C9</f>
        <v>500</v>
      </c>
      <c r="E9" s="102">
        <f>D9</f>
        <v>500</v>
      </c>
      <c r="F9" s="102">
        <f>C9</f>
        <v>500</v>
      </c>
      <c r="G9" s="102">
        <f aca="true" t="shared" si="1" ref="G9:M9">F9</f>
        <v>500</v>
      </c>
      <c r="H9" s="102">
        <f t="shared" si="1"/>
        <v>500</v>
      </c>
      <c r="I9" s="102">
        <f t="shared" si="1"/>
        <v>500</v>
      </c>
      <c r="J9" s="102">
        <f t="shared" si="1"/>
        <v>500</v>
      </c>
      <c r="K9" s="102">
        <f t="shared" si="1"/>
        <v>500</v>
      </c>
      <c r="L9" s="102">
        <f t="shared" si="1"/>
        <v>500</v>
      </c>
      <c r="M9" s="102">
        <f t="shared" si="1"/>
        <v>500</v>
      </c>
      <c r="N9" s="102"/>
    </row>
    <row r="10" spans="1:14" s="93" customFormat="1" ht="15.75">
      <c r="A10" s="246" t="s">
        <v>258</v>
      </c>
      <c r="B10" s="100">
        <f>B11*B12</f>
        <v>1125000</v>
      </c>
      <c r="C10" s="100">
        <f aca="true" t="shared" si="2" ref="C10:N10">C11*C12</f>
        <v>1500000</v>
      </c>
      <c r="D10" s="100">
        <f t="shared" si="2"/>
        <v>1875000</v>
      </c>
      <c r="E10" s="100">
        <f t="shared" si="2"/>
        <v>2250000</v>
      </c>
      <c r="F10" s="100">
        <f t="shared" si="2"/>
        <v>2625000</v>
      </c>
      <c r="G10" s="100">
        <f t="shared" si="2"/>
        <v>3000000</v>
      </c>
      <c r="H10" s="100">
        <f t="shared" si="2"/>
        <v>2625000</v>
      </c>
      <c r="I10" s="100">
        <f t="shared" si="2"/>
        <v>2250000</v>
      </c>
      <c r="J10" s="100">
        <f t="shared" si="2"/>
        <v>1875000</v>
      </c>
      <c r="K10" s="100">
        <f t="shared" si="2"/>
        <v>1500000</v>
      </c>
      <c r="L10" s="100">
        <f t="shared" si="2"/>
        <v>1125000</v>
      </c>
      <c r="M10" s="100">
        <f t="shared" si="2"/>
        <v>2250000</v>
      </c>
      <c r="N10" s="100">
        <f t="shared" si="2"/>
        <v>24000000</v>
      </c>
    </row>
    <row r="11" spans="1:14" s="93" customFormat="1" ht="15.75">
      <c r="A11" s="247" t="s">
        <v>260</v>
      </c>
      <c r="B11" s="102">
        <f>30*15</f>
        <v>450</v>
      </c>
      <c r="C11" s="102">
        <f>30*20</f>
        <v>600</v>
      </c>
      <c r="D11" s="102">
        <f>30*25</f>
        <v>750</v>
      </c>
      <c r="E11" s="102">
        <f>30*30</f>
        <v>900</v>
      </c>
      <c r="F11" s="102">
        <f>30*35</f>
        <v>1050</v>
      </c>
      <c r="G11" s="102">
        <f>30*40</f>
        <v>1200</v>
      </c>
      <c r="H11" s="102">
        <f>30*35</f>
        <v>1050</v>
      </c>
      <c r="I11" s="102">
        <f>30*30</f>
        <v>900</v>
      </c>
      <c r="J11" s="102">
        <f>30*25</f>
        <v>750</v>
      </c>
      <c r="K11" s="102">
        <f>30*20</f>
        <v>600</v>
      </c>
      <c r="L11" s="102">
        <f>30*15</f>
        <v>450</v>
      </c>
      <c r="M11" s="102">
        <f>30*30</f>
        <v>900</v>
      </c>
      <c r="N11" s="100">
        <f>SUM(B11:M11)</f>
        <v>9600</v>
      </c>
    </row>
    <row r="12" spans="1:14" s="93" customFormat="1" ht="15.75">
      <c r="A12" s="247" t="s">
        <v>291</v>
      </c>
      <c r="B12" s="102">
        <v>2500</v>
      </c>
      <c r="C12" s="102">
        <v>2500</v>
      </c>
      <c r="D12" s="102">
        <v>2500</v>
      </c>
      <c r="E12" s="102">
        <v>2500</v>
      </c>
      <c r="F12" s="102">
        <v>2500</v>
      </c>
      <c r="G12" s="102">
        <v>2500</v>
      </c>
      <c r="H12" s="102">
        <v>2500</v>
      </c>
      <c r="I12" s="102">
        <v>2500</v>
      </c>
      <c r="J12" s="102">
        <v>2500</v>
      </c>
      <c r="K12" s="102">
        <v>2500</v>
      </c>
      <c r="L12" s="102">
        <v>2500</v>
      </c>
      <c r="M12" s="102">
        <v>2500</v>
      </c>
      <c r="N12" s="102">
        <v>2500</v>
      </c>
    </row>
    <row r="13" spans="1:14" s="93" customFormat="1" ht="31.5">
      <c r="A13" s="246" t="s">
        <v>261</v>
      </c>
      <c r="B13" s="100">
        <f>B14*B15</f>
        <v>756000</v>
      </c>
      <c r="C13" s="100">
        <f aca="true" t="shared" si="3" ref="C13:M13">C14*C15</f>
        <v>840000</v>
      </c>
      <c r="D13" s="100">
        <f t="shared" si="3"/>
        <v>924000</v>
      </c>
      <c r="E13" s="100">
        <f t="shared" si="3"/>
        <v>1008000</v>
      </c>
      <c r="F13" s="100">
        <f t="shared" si="3"/>
        <v>1092000</v>
      </c>
      <c r="G13" s="100">
        <f t="shared" si="3"/>
        <v>1008000</v>
      </c>
      <c r="H13" s="100">
        <f t="shared" si="3"/>
        <v>840000</v>
      </c>
      <c r="I13" s="100">
        <f t="shared" si="3"/>
        <v>504000</v>
      </c>
      <c r="J13" s="100">
        <f t="shared" si="3"/>
        <v>420000</v>
      </c>
      <c r="K13" s="100">
        <f t="shared" si="3"/>
        <v>336000</v>
      </c>
      <c r="L13" s="100">
        <f t="shared" si="3"/>
        <v>840000</v>
      </c>
      <c r="M13" s="100">
        <f t="shared" si="3"/>
        <v>1260000</v>
      </c>
      <c r="N13" s="100">
        <f>N14*N15</f>
        <v>9828000</v>
      </c>
    </row>
    <row r="14" spans="1:14" s="93" customFormat="1" ht="15.75">
      <c r="A14" s="247" t="s">
        <v>287</v>
      </c>
      <c r="B14" s="102">
        <f>B8</f>
        <v>1080</v>
      </c>
      <c r="C14" s="102">
        <f aca="true" t="shared" si="4" ref="C14:M14">C8</f>
        <v>1200</v>
      </c>
      <c r="D14" s="102">
        <f t="shared" si="4"/>
        <v>1320</v>
      </c>
      <c r="E14" s="102">
        <f t="shared" si="4"/>
        <v>1440</v>
      </c>
      <c r="F14" s="102">
        <f t="shared" si="4"/>
        <v>1560</v>
      </c>
      <c r="G14" s="102">
        <f t="shared" si="4"/>
        <v>1440</v>
      </c>
      <c r="H14" s="102">
        <f t="shared" si="4"/>
        <v>1200</v>
      </c>
      <c r="I14" s="102">
        <f t="shared" si="4"/>
        <v>720</v>
      </c>
      <c r="J14" s="102">
        <f t="shared" si="4"/>
        <v>600</v>
      </c>
      <c r="K14" s="102">
        <f t="shared" si="4"/>
        <v>480</v>
      </c>
      <c r="L14" s="102">
        <f t="shared" si="4"/>
        <v>1200</v>
      </c>
      <c r="M14" s="102">
        <f t="shared" si="4"/>
        <v>1800</v>
      </c>
      <c r="N14" s="102">
        <f>N8</f>
        <v>14040</v>
      </c>
    </row>
    <row r="15" spans="1:14" s="93" customFormat="1" ht="15.75">
      <c r="A15" s="247" t="s">
        <v>291</v>
      </c>
      <c r="B15" s="102">
        <v>700</v>
      </c>
      <c r="C15" s="102">
        <v>700</v>
      </c>
      <c r="D15" s="102">
        <v>700</v>
      </c>
      <c r="E15" s="102">
        <v>700</v>
      </c>
      <c r="F15" s="102">
        <v>700</v>
      </c>
      <c r="G15" s="102">
        <v>700</v>
      </c>
      <c r="H15" s="102">
        <v>700</v>
      </c>
      <c r="I15" s="102">
        <v>700</v>
      </c>
      <c r="J15" s="102">
        <v>700</v>
      </c>
      <c r="K15" s="102">
        <v>700</v>
      </c>
      <c r="L15" s="102">
        <v>700</v>
      </c>
      <c r="M15" s="102">
        <v>700</v>
      </c>
      <c r="N15" s="102">
        <v>700</v>
      </c>
    </row>
    <row r="16" spans="1:14" s="93" customFormat="1" ht="15.75">
      <c r="A16" s="246" t="s">
        <v>289</v>
      </c>
      <c r="B16" s="100">
        <f>B17*B18</f>
        <v>270000</v>
      </c>
      <c r="C16" s="100">
        <f aca="true" t="shared" si="5" ref="C16:M16">C17*C18</f>
        <v>270000</v>
      </c>
      <c r="D16" s="100">
        <f t="shared" si="5"/>
        <v>270000</v>
      </c>
      <c r="E16" s="100">
        <f t="shared" si="5"/>
        <v>324000</v>
      </c>
      <c r="F16" s="100">
        <f t="shared" si="5"/>
        <v>324000</v>
      </c>
      <c r="G16" s="100">
        <f t="shared" si="5"/>
        <v>324000</v>
      </c>
      <c r="H16" s="100">
        <f t="shared" si="5"/>
        <v>378000</v>
      </c>
      <c r="I16" s="100">
        <f t="shared" si="5"/>
        <v>378000</v>
      </c>
      <c r="J16" s="100">
        <f t="shared" si="5"/>
        <v>378000</v>
      </c>
      <c r="K16" s="100">
        <f t="shared" si="5"/>
        <v>378000</v>
      </c>
      <c r="L16" s="100">
        <f t="shared" si="5"/>
        <v>378000</v>
      </c>
      <c r="M16" s="100">
        <f t="shared" si="5"/>
        <v>378000</v>
      </c>
      <c r="N16" s="100">
        <f>SUM(B16:M16)</f>
        <v>4050000</v>
      </c>
    </row>
    <row r="17" spans="1:14" s="93" customFormat="1" ht="31.5">
      <c r="A17" s="247" t="s">
        <v>290</v>
      </c>
      <c r="B17" s="102">
        <v>6</v>
      </c>
      <c r="C17" s="102">
        <v>6</v>
      </c>
      <c r="D17" s="102">
        <v>6</v>
      </c>
      <c r="E17" s="102">
        <v>6</v>
      </c>
      <c r="F17" s="102">
        <v>6</v>
      </c>
      <c r="G17" s="102">
        <v>6</v>
      </c>
      <c r="H17" s="102">
        <v>6</v>
      </c>
      <c r="I17" s="102">
        <v>6</v>
      </c>
      <c r="J17" s="102">
        <v>6</v>
      </c>
      <c r="K17" s="102">
        <v>6</v>
      </c>
      <c r="L17" s="102">
        <v>6</v>
      </c>
      <c r="M17" s="102">
        <v>6</v>
      </c>
      <c r="N17" s="102"/>
    </row>
    <row r="18" spans="1:14" s="93" customFormat="1" ht="31.5">
      <c r="A18" s="247" t="s">
        <v>292</v>
      </c>
      <c r="B18" s="102">
        <v>45000</v>
      </c>
      <c r="C18" s="102">
        <v>45000</v>
      </c>
      <c r="D18" s="102">
        <v>45000</v>
      </c>
      <c r="E18" s="102">
        <v>54000</v>
      </c>
      <c r="F18" s="102">
        <v>54000</v>
      </c>
      <c r="G18" s="102">
        <v>54000</v>
      </c>
      <c r="H18" s="102">
        <v>63000</v>
      </c>
      <c r="I18" s="102">
        <v>63000</v>
      </c>
      <c r="J18" s="102">
        <v>63000</v>
      </c>
      <c r="K18" s="102">
        <v>63000</v>
      </c>
      <c r="L18" s="102">
        <v>63000</v>
      </c>
      <c r="M18" s="102">
        <v>63000</v>
      </c>
      <c r="N18" s="102"/>
    </row>
    <row r="19" spans="1:14" s="93" customFormat="1" ht="15.75">
      <c r="A19" s="106" t="s">
        <v>0</v>
      </c>
      <c r="B19" s="100">
        <f>B7+B10+B13+B16</f>
        <v>2691000</v>
      </c>
      <c r="C19" s="100">
        <f>C7+C10+C13+C16</f>
        <v>3210000</v>
      </c>
      <c r="D19" s="100">
        <f aca="true" t="shared" si="6" ref="D19:M19">D7+D10+D13+D16</f>
        <v>3729000</v>
      </c>
      <c r="E19" s="100">
        <f t="shared" si="6"/>
        <v>4302000</v>
      </c>
      <c r="F19" s="100">
        <f t="shared" si="6"/>
        <v>4821000</v>
      </c>
      <c r="G19" s="100">
        <f t="shared" si="6"/>
        <v>5052000</v>
      </c>
      <c r="H19" s="100">
        <f t="shared" si="6"/>
        <v>4443000</v>
      </c>
      <c r="I19" s="100">
        <f t="shared" si="6"/>
        <v>3492000</v>
      </c>
      <c r="J19" s="100">
        <f t="shared" si="6"/>
        <v>2973000</v>
      </c>
      <c r="K19" s="100">
        <f t="shared" si="6"/>
        <v>2454000</v>
      </c>
      <c r="L19" s="100">
        <f t="shared" si="6"/>
        <v>2943000</v>
      </c>
      <c r="M19" s="100">
        <f t="shared" si="6"/>
        <v>4788000</v>
      </c>
      <c r="N19" s="100">
        <f>SUM(B19:M19)</f>
        <v>44898000</v>
      </c>
    </row>
    <row r="20" ht="15.75">
      <c r="A20" s="91"/>
    </row>
    <row r="21" spans="1:2" ht="15.75">
      <c r="A21" s="91" t="s">
        <v>29</v>
      </c>
      <c r="B21" s="100"/>
    </row>
    <row r="22" spans="1:16" ht="47.25">
      <c r="A22" s="104" t="s">
        <v>12</v>
      </c>
      <c r="B22" s="104" t="s">
        <v>262</v>
      </c>
      <c r="C22" s="104" t="s">
        <v>263</v>
      </c>
      <c r="D22" s="104" t="s">
        <v>264</v>
      </c>
      <c r="E22" s="104" t="s">
        <v>265</v>
      </c>
      <c r="F22" s="104" t="s">
        <v>266</v>
      </c>
      <c r="G22" s="104" t="s">
        <v>267</v>
      </c>
      <c r="H22" s="104" t="s">
        <v>268</v>
      </c>
      <c r="I22" s="104" t="s">
        <v>269</v>
      </c>
      <c r="J22" s="104" t="s">
        <v>270</v>
      </c>
      <c r="K22" s="104" t="s">
        <v>271</v>
      </c>
      <c r="L22" s="104" t="s">
        <v>273</v>
      </c>
      <c r="M22" s="104" t="s">
        <v>272</v>
      </c>
      <c r="N22" s="104" t="s">
        <v>0</v>
      </c>
      <c r="O22" s="94"/>
      <c r="P22" s="94"/>
    </row>
    <row r="23" spans="1:14" s="93" customFormat="1" ht="47.25">
      <c r="A23" s="246" t="s">
        <v>244</v>
      </c>
      <c r="B23" s="100">
        <f>B24*B25</f>
        <v>900000</v>
      </c>
      <c r="C23" s="100">
        <f aca="true" t="shared" si="7" ref="C23:M23">C24*C25</f>
        <v>900000</v>
      </c>
      <c r="D23" s="100">
        <f t="shared" si="7"/>
        <v>900000</v>
      </c>
      <c r="E23" s="100">
        <f t="shared" si="7"/>
        <v>900000</v>
      </c>
      <c r="F23" s="100">
        <f t="shared" si="7"/>
        <v>900000</v>
      </c>
      <c r="G23" s="100">
        <f t="shared" si="7"/>
        <v>720000</v>
      </c>
      <c r="H23" s="100">
        <f t="shared" si="7"/>
        <v>600000</v>
      </c>
      <c r="I23" s="100">
        <f t="shared" si="7"/>
        <v>480000</v>
      </c>
      <c r="J23" s="100">
        <f t="shared" si="7"/>
        <v>420000</v>
      </c>
      <c r="K23" s="100">
        <f t="shared" si="7"/>
        <v>360000</v>
      </c>
      <c r="L23" s="100">
        <f t="shared" si="7"/>
        <v>600000</v>
      </c>
      <c r="M23" s="100">
        <f t="shared" si="7"/>
        <v>900000</v>
      </c>
      <c r="N23" s="100">
        <f>SUM(B23:M23)</f>
        <v>8580000</v>
      </c>
    </row>
    <row r="24" spans="1:14" s="93" customFormat="1" ht="15.75">
      <c r="A24" s="105" t="s">
        <v>287</v>
      </c>
      <c r="B24" s="102">
        <f>3*4*150</f>
        <v>1800</v>
      </c>
      <c r="C24" s="102">
        <f>3*4*150</f>
        <v>1800</v>
      </c>
      <c r="D24" s="102">
        <f>3*4*150</f>
        <v>1800</v>
      </c>
      <c r="E24" s="102">
        <f>3*4*150</f>
        <v>1800</v>
      </c>
      <c r="F24" s="102">
        <f>3*4*150</f>
        <v>1800</v>
      </c>
      <c r="G24" s="102">
        <f>3*4*120</f>
        <v>1440</v>
      </c>
      <c r="H24" s="102">
        <f>3*4*100</f>
        <v>1200</v>
      </c>
      <c r="I24" s="102">
        <f>3*4*80</f>
        <v>960</v>
      </c>
      <c r="J24" s="102">
        <f>3*4*70</f>
        <v>840</v>
      </c>
      <c r="K24" s="102">
        <f>3*4*60</f>
        <v>720</v>
      </c>
      <c r="L24" s="102">
        <f>3*4*100</f>
        <v>1200</v>
      </c>
      <c r="M24" s="102">
        <f>3*4*150</f>
        <v>1800</v>
      </c>
      <c r="N24" s="100">
        <f>SUM(B24:M24)</f>
        <v>17160</v>
      </c>
    </row>
    <row r="25" spans="1:14" s="93" customFormat="1" ht="31.5">
      <c r="A25" s="247" t="s">
        <v>245</v>
      </c>
      <c r="B25" s="102">
        <v>500</v>
      </c>
      <c r="C25" s="102">
        <f>B25</f>
        <v>500</v>
      </c>
      <c r="D25" s="102">
        <f>C25</f>
        <v>500</v>
      </c>
      <c r="E25" s="102">
        <f>D25</f>
        <v>500</v>
      </c>
      <c r="F25" s="102">
        <f>C25</f>
        <v>500</v>
      </c>
      <c r="G25" s="102">
        <f aca="true" t="shared" si="8" ref="G25:M25">F25</f>
        <v>500</v>
      </c>
      <c r="H25" s="102">
        <f t="shared" si="8"/>
        <v>500</v>
      </c>
      <c r="I25" s="102">
        <f t="shared" si="8"/>
        <v>500</v>
      </c>
      <c r="J25" s="102">
        <f t="shared" si="8"/>
        <v>500</v>
      </c>
      <c r="K25" s="102">
        <f t="shared" si="8"/>
        <v>500</v>
      </c>
      <c r="L25" s="102">
        <f t="shared" si="8"/>
        <v>500</v>
      </c>
      <c r="M25" s="102">
        <f t="shared" si="8"/>
        <v>500</v>
      </c>
      <c r="N25" s="102"/>
    </row>
    <row r="26" spans="1:14" s="93" customFormat="1" ht="15.75">
      <c r="A26" s="246" t="s">
        <v>258</v>
      </c>
      <c r="B26" s="100">
        <f aca="true" t="shared" si="9" ref="B26:N26">B27*B28</f>
        <v>2625000</v>
      </c>
      <c r="C26" s="100">
        <f t="shared" si="9"/>
        <v>3000000</v>
      </c>
      <c r="D26" s="100">
        <f t="shared" si="9"/>
        <v>3750000</v>
      </c>
      <c r="E26" s="100">
        <f t="shared" si="9"/>
        <v>3750000</v>
      </c>
      <c r="F26" s="100">
        <f t="shared" si="9"/>
        <v>3750000</v>
      </c>
      <c r="G26" s="100">
        <f t="shared" si="9"/>
        <v>3375000</v>
      </c>
      <c r="H26" s="100">
        <f t="shared" si="9"/>
        <v>3000000</v>
      </c>
      <c r="I26" s="100">
        <f t="shared" si="9"/>
        <v>2625000</v>
      </c>
      <c r="J26" s="100">
        <f t="shared" si="9"/>
        <v>2250000</v>
      </c>
      <c r="K26" s="100">
        <f t="shared" si="9"/>
        <v>1875000</v>
      </c>
      <c r="L26" s="100">
        <f t="shared" si="9"/>
        <v>2250000</v>
      </c>
      <c r="M26" s="100">
        <f t="shared" si="9"/>
        <v>3000000</v>
      </c>
      <c r="N26" s="100">
        <f t="shared" si="9"/>
        <v>35250000</v>
      </c>
    </row>
    <row r="27" spans="1:14" s="93" customFormat="1" ht="15.75">
      <c r="A27" s="247" t="s">
        <v>260</v>
      </c>
      <c r="B27" s="102">
        <f>30*35</f>
        <v>1050</v>
      </c>
      <c r="C27" s="102">
        <f>30*40</f>
        <v>1200</v>
      </c>
      <c r="D27" s="102">
        <f>30*50</f>
        <v>1500</v>
      </c>
      <c r="E27" s="102">
        <f>30*50</f>
        <v>1500</v>
      </c>
      <c r="F27" s="102">
        <f>30*50</f>
        <v>1500</v>
      </c>
      <c r="G27" s="102">
        <f>30*45</f>
        <v>1350</v>
      </c>
      <c r="H27" s="102">
        <f>30*40</f>
        <v>1200</v>
      </c>
      <c r="I27" s="102">
        <f>30*35</f>
        <v>1050</v>
      </c>
      <c r="J27" s="102">
        <f>30*30</f>
        <v>900</v>
      </c>
      <c r="K27" s="102">
        <f>30*25</f>
        <v>750</v>
      </c>
      <c r="L27" s="102">
        <f>30*30</f>
        <v>900</v>
      </c>
      <c r="M27" s="102">
        <f>30*40</f>
        <v>1200</v>
      </c>
      <c r="N27" s="100">
        <f>SUM(B27:M27)</f>
        <v>14100</v>
      </c>
    </row>
    <row r="28" spans="1:14" s="93" customFormat="1" ht="15.75">
      <c r="A28" s="247" t="s">
        <v>259</v>
      </c>
      <c r="B28" s="102">
        <v>2500</v>
      </c>
      <c r="C28" s="102">
        <v>2500</v>
      </c>
      <c r="D28" s="102">
        <v>2500</v>
      </c>
      <c r="E28" s="102">
        <v>2500</v>
      </c>
      <c r="F28" s="102">
        <v>2500</v>
      </c>
      <c r="G28" s="102">
        <v>2500</v>
      </c>
      <c r="H28" s="102">
        <v>2500</v>
      </c>
      <c r="I28" s="102">
        <v>2500</v>
      </c>
      <c r="J28" s="102">
        <v>2500</v>
      </c>
      <c r="K28" s="102">
        <v>2500</v>
      </c>
      <c r="L28" s="102">
        <v>2500</v>
      </c>
      <c r="M28" s="102">
        <v>2500</v>
      </c>
      <c r="N28" s="102">
        <v>2500</v>
      </c>
    </row>
    <row r="29" spans="1:14" s="93" customFormat="1" ht="31.5">
      <c r="A29" s="246" t="s">
        <v>261</v>
      </c>
      <c r="B29" s="100">
        <f aca="true" t="shared" si="10" ref="B29:N29">B30*B31</f>
        <v>1620000</v>
      </c>
      <c r="C29" s="100">
        <f t="shared" si="10"/>
        <v>1620000</v>
      </c>
      <c r="D29" s="100">
        <f t="shared" si="10"/>
        <v>1620000</v>
      </c>
      <c r="E29" s="100">
        <f t="shared" si="10"/>
        <v>1620000</v>
      </c>
      <c r="F29" s="100">
        <f t="shared" si="10"/>
        <v>1620000</v>
      </c>
      <c r="G29" s="100">
        <f t="shared" si="10"/>
        <v>1296000</v>
      </c>
      <c r="H29" s="100">
        <f t="shared" si="10"/>
        <v>1080000</v>
      </c>
      <c r="I29" s="100">
        <f t="shared" si="10"/>
        <v>864000</v>
      </c>
      <c r="J29" s="100">
        <f t="shared" si="10"/>
        <v>756000</v>
      </c>
      <c r="K29" s="100">
        <f t="shared" si="10"/>
        <v>648000</v>
      </c>
      <c r="L29" s="100">
        <f t="shared" si="10"/>
        <v>1080000</v>
      </c>
      <c r="M29" s="100">
        <f t="shared" si="10"/>
        <v>1620000</v>
      </c>
      <c r="N29" s="100">
        <f t="shared" si="10"/>
        <v>15444000</v>
      </c>
    </row>
    <row r="30" spans="1:14" s="93" customFormat="1" ht="15.75">
      <c r="A30" s="247" t="s">
        <v>287</v>
      </c>
      <c r="B30" s="102">
        <f>B24</f>
        <v>1800</v>
      </c>
      <c r="C30" s="102">
        <f aca="true" t="shared" si="11" ref="C30:M30">C24</f>
        <v>1800</v>
      </c>
      <c r="D30" s="102">
        <f t="shared" si="11"/>
        <v>1800</v>
      </c>
      <c r="E30" s="102">
        <f t="shared" si="11"/>
        <v>1800</v>
      </c>
      <c r="F30" s="102">
        <f t="shared" si="11"/>
        <v>1800</v>
      </c>
      <c r="G30" s="102">
        <f t="shared" si="11"/>
        <v>1440</v>
      </c>
      <c r="H30" s="102">
        <f t="shared" si="11"/>
        <v>1200</v>
      </c>
      <c r="I30" s="102">
        <f t="shared" si="11"/>
        <v>960</v>
      </c>
      <c r="J30" s="102">
        <f t="shared" si="11"/>
        <v>840</v>
      </c>
      <c r="K30" s="102">
        <f t="shared" si="11"/>
        <v>720</v>
      </c>
      <c r="L30" s="102">
        <f t="shared" si="11"/>
        <v>1200</v>
      </c>
      <c r="M30" s="102">
        <f t="shared" si="11"/>
        <v>1800</v>
      </c>
      <c r="N30" s="102">
        <f>N24</f>
        <v>17160</v>
      </c>
    </row>
    <row r="31" spans="1:14" s="93" customFormat="1" ht="15.75">
      <c r="A31" s="247" t="s">
        <v>259</v>
      </c>
      <c r="B31" s="102">
        <v>900</v>
      </c>
      <c r="C31" s="102">
        <v>900</v>
      </c>
      <c r="D31" s="102">
        <v>900</v>
      </c>
      <c r="E31" s="102">
        <v>900</v>
      </c>
      <c r="F31" s="102">
        <v>900</v>
      </c>
      <c r="G31" s="102">
        <v>900</v>
      </c>
      <c r="H31" s="102">
        <v>900</v>
      </c>
      <c r="I31" s="102">
        <v>900</v>
      </c>
      <c r="J31" s="102">
        <v>900</v>
      </c>
      <c r="K31" s="102">
        <v>900</v>
      </c>
      <c r="L31" s="102">
        <v>900</v>
      </c>
      <c r="M31" s="102">
        <v>900</v>
      </c>
      <c r="N31" s="102">
        <v>900</v>
      </c>
    </row>
    <row r="32" spans="1:14" s="93" customFormat="1" ht="15.75">
      <c r="A32" s="246" t="s">
        <v>289</v>
      </c>
      <c r="B32" s="100">
        <f aca="true" t="shared" si="12" ref="B32:M32">B33*B34</f>
        <v>450000</v>
      </c>
      <c r="C32" s="100">
        <f t="shared" si="12"/>
        <v>450000</v>
      </c>
      <c r="D32" s="100">
        <f t="shared" si="12"/>
        <v>450000</v>
      </c>
      <c r="E32" s="100">
        <f t="shared" si="12"/>
        <v>450000</v>
      </c>
      <c r="F32" s="100">
        <f t="shared" si="12"/>
        <v>450000</v>
      </c>
      <c r="G32" s="100">
        <f t="shared" si="12"/>
        <v>450000</v>
      </c>
      <c r="H32" s="100">
        <f t="shared" si="12"/>
        <v>450000</v>
      </c>
      <c r="I32" s="100">
        <f t="shared" si="12"/>
        <v>450000</v>
      </c>
      <c r="J32" s="100">
        <f t="shared" si="12"/>
        <v>450000</v>
      </c>
      <c r="K32" s="100">
        <f t="shared" si="12"/>
        <v>450000</v>
      </c>
      <c r="L32" s="100">
        <f t="shared" si="12"/>
        <v>450000</v>
      </c>
      <c r="M32" s="100">
        <f t="shared" si="12"/>
        <v>450000</v>
      </c>
      <c r="N32" s="100">
        <f>SUM(B32:M32)</f>
        <v>5400000</v>
      </c>
    </row>
    <row r="33" spans="1:14" s="93" customFormat="1" ht="31.5">
      <c r="A33" s="247" t="s">
        <v>290</v>
      </c>
      <c r="B33" s="102">
        <v>6</v>
      </c>
      <c r="C33" s="102">
        <v>6</v>
      </c>
      <c r="D33" s="102">
        <v>6</v>
      </c>
      <c r="E33" s="102">
        <v>6</v>
      </c>
      <c r="F33" s="102">
        <v>6</v>
      </c>
      <c r="G33" s="102">
        <v>6</v>
      </c>
      <c r="H33" s="102">
        <v>6</v>
      </c>
      <c r="I33" s="102">
        <v>6</v>
      </c>
      <c r="J33" s="102">
        <v>6</v>
      </c>
      <c r="K33" s="102">
        <v>6</v>
      </c>
      <c r="L33" s="102">
        <v>6</v>
      </c>
      <c r="M33" s="102">
        <v>6</v>
      </c>
      <c r="N33" s="102"/>
    </row>
    <row r="34" spans="1:14" s="93" customFormat="1" ht="31.5">
      <c r="A34" s="247" t="s">
        <v>292</v>
      </c>
      <c r="B34" s="102">
        <v>75000</v>
      </c>
      <c r="C34" s="102">
        <v>75000</v>
      </c>
      <c r="D34" s="102">
        <v>75000</v>
      </c>
      <c r="E34" s="102">
        <v>75000</v>
      </c>
      <c r="F34" s="102">
        <v>75000</v>
      </c>
      <c r="G34" s="102">
        <v>75000</v>
      </c>
      <c r="H34" s="102">
        <v>75000</v>
      </c>
      <c r="I34" s="102">
        <v>75000</v>
      </c>
      <c r="J34" s="102">
        <v>75000</v>
      </c>
      <c r="K34" s="102">
        <v>75000</v>
      </c>
      <c r="L34" s="102">
        <v>75000</v>
      </c>
      <c r="M34" s="102">
        <v>75000</v>
      </c>
      <c r="N34" s="102"/>
    </row>
    <row r="35" spans="1:14" s="93" customFormat="1" ht="15.75">
      <c r="A35" s="106" t="s">
        <v>0</v>
      </c>
      <c r="B35" s="100">
        <f>B23+B26+B29+B32</f>
        <v>5595000</v>
      </c>
      <c r="C35" s="100">
        <f aca="true" t="shared" si="13" ref="C35:M35">C23+C26+C29+C32</f>
        <v>5970000</v>
      </c>
      <c r="D35" s="100">
        <f t="shared" si="13"/>
        <v>6720000</v>
      </c>
      <c r="E35" s="100">
        <f t="shared" si="13"/>
        <v>6720000</v>
      </c>
      <c r="F35" s="100">
        <f t="shared" si="13"/>
        <v>6720000</v>
      </c>
      <c r="G35" s="100">
        <f t="shared" si="13"/>
        <v>5841000</v>
      </c>
      <c r="H35" s="100">
        <f t="shared" si="13"/>
        <v>5130000</v>
      </c>
      <c r="I35" s="100">
        <f t="shared" si="13"/>
        <v>4419000</v>
      </c>
      <c r="J35" s="100">
        <f t="shared" si="13"/>
        <v>3876000</v>
      </c>
      <c r="K35" s="100">
        <f t="shared" si="13"/>
        <v>3333000</v>
      </c>
      <c r="L35" s="100">
        <f t="shared" si="13"/>
        <v>4380000</v>
      </c>
      <c r="M35" s="100">
        <f t="shared" si="13"/>
        <v>5970000</v>
      </c>
      <c r="N35" s="100">
        <f>SUM(B35:M35)</f>
        <v>64674000</v>
      </c>
    </row>
    <row r="37" spans="2:14" ht="15.75">
      <c r="B37" s="104" t="s">
        <v>13</v>
      </c>
      <c r="C37" s="104" t="s">
        <v>14</v>
      </c>
      <c r="D37" s="104" t="s">
        <v>15</v>
      </c>
      <c r="E37" s="104" t="s">
        <v>16</v>
      </c>
      <c r="F37" s="104" t="s">
        <v>17</v>
      </c>
      <c r="G37" s="104" t="s">
        <v>18</v>
      </c>
      <c r="H37" s="104" t="s">
        <v>19</v>
      </c>
      <c r="I37" s="104" t="s">
        <v>20</v>
      </c>
      <c r="J37" s="104" t="s">
        <v>21</v>
      </c>
      <c r="K37" s="104" t="s">
        <v>22</v>
      </c>
      <c r="L37" s="104" t="s">
        <v>23</v>
      </c>
      <c r="M37" s="104" t="s">
        <v>24</v>
      </c>
      <c r="N37" s="104" t="s">
        <v>0</v>
      </c>
    </row>
    <row r="38" spans="1:14" ht="15.75">
      <c r="A38" s="114" t="s">
        <v>168</v>
      </c>
      <c r="B38" s="102">
        <f>B19*12%</f>
        <v>322920</v>
      </c>
      <c r="C38" s="102">
        <f aca="true" t="shared" si="14" ref="C38:M38">C19*12%</f>
        <v>385200</v>
      </c>
      <c r="D38" s="102">
        <f t="shared" si="14"/>
        <v>447480</v>
      </c>
      <c r="E38" s="102">
        <f t="shared" si="14"/>
        <v>516240</v>
      </c>
      <c r="F38" s="102">
        <f t="shared" si="14"/>
        <v>578520</v>
      </c>
      <c r="G38" s="102">
        <f t="shared" si="14"/>
        <v>606240</v>
      </c>
      <c r="H38" s="102">
        <f t="shared" si="14"/>
        <v>533160</v>
      </c>
      <c r="I38" s="102">
        <f t="shared" si="14"/>
        <v>419040</v>
      </c>
      <c r="J38" s="102">
        <f t="shared" si="14"/>
        <v>356760</v>
      </c>
      <c r="K38" s="102">
        <f t="shared" si="14"/>
        <v>294480</v>
      </c>
      <c r="L38" s="102">
        <f t="shared" si="14"/>
        <v>353160</v>
      </c>
      <c r="M38" s="102">
        <f t="shared" si="14"/>
        <v>574560</v>
      </c>
      <c r="N38" s="100">
        <f>SUM(B38:M38)</f>
        <v>5387760</v>
      </c>
    </row>
    <row r="39" spans="1:14" ht="15.75">
      <c r="A39" s="114" t="s">
        <v>169</v>
      </c>
      <c r="B39" s="102">
        <f>B35*12%</f>
        <v>671400</v>
      </c>
      <c r="C39" s="102">
        <f aca="true" t="shared" si="15" ref="C39:M39">C35*12%</f>
        <v>716400</v>
      </c>
      <c r="D39" s="102">
        <f t="shared" si="15"/>
        <v>806400</v>
      </c>
      <c r="E39" s="102">
        <f t="shared" si="15"/>
        <v>806400</v>
      </c>
      <c r="F39" s="102">
        <f t="shared" si="15"/>
        <v>806400</v>
      </c>
      <c r="G39" s="102">
        <f t="shared" si="15"/>
        <v>700920</v>
      </c>
      <c r="H39" s="102">
        <f t="shared" si="15"/>
        <v>615600</v>
      </c>
      <c r="I39" s="102">
        <f t="shared" si="15"/>
        <v>530280</v>
      </c>
      <c r="J39" s="102">
        <f t="shared" si="15"/>
        <v>465120</v>
      </c>
      <c r="K39" s="102">
        <f t="shared" si="15"/>
        <v>399960</v>
      </c>
      <c r="L39" s="102">
        <f t="shared" si="15"/>
        <v>525600</v>
      </c>
      <c r="M39" s="102">
        <f t="shared" si="15"/>
        <v>716400</v>
      </c>
      <c r="N39" s="100">
        <f>SUM(B39:M39)</f>
        <v>7760880</v>
      </c>
    </row>
    <row r="40" ht="15.75">
      <c r="A40" s="113"/>
    </row>
    <row r="41" ht="15.75">
      <c r="A41" s="92" t="s">
        <v>146</v>
      </c>
    </row>
    <row r="42" ht="15.75">
      <c r="A42" s="92" t="s">
        <v>178</v>
      </c>
    </row>
  </sheetData>
  <sheetProtection/>
  <printOptions/>
  <pageMargins left="0.4330708661417323" right="0.4724409448818898" top="0.4724409448818898" bottom="0.4724409448818898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6">
      <selection activeCell="B10" sqref="B10"/>
    </sheetView>
  </sheetViews>
  <sheetFormatPr defaultColWidth="9.140625" defaultRowHeight="12.75"/>
  <cols>
    <col min="1" max="1" width="31.140625" style="92" customWidth="1"/>
    <col min="2" max="2" width="14.421875" style="92" bestFit="1" customWidth="1"/>
    <col min="3" max="3" width="17.00390625" style="92" customWidth="1"/>
    <col min="4" max="4" width="17.7109375" style="92" customWidth="1"/>
    <col min="5" max="13" width="13.7109375" style="92" bestFit="1" customWidth="1"/>
    <col min="14" max="14" width="16.140625" style="93" bestFit="1" customWidth="1"/>
    <col min="15" max="15" width="13.421875" style="92" customWidth="1"/>
    <col min="16" max="16384" width="9.140625" style="92" customWidth="1"/>
  </cols>
  <sheetData>
    <row r="1" spans="1:16" ht="15.75">
      <c r="A1" s="91"/>
      <c r="P1" s="94"/>
    </row>
    <row r="2" spans="1:17" ht="15.75">
      <c r="A2" s="91"/>
      <c r="P2" s="94"/>
      <c r="Q2" s="94"/>
    </row>
    <row r="3" spans="1:17" ht="15.75">
      <c r="A3" s="71" t="s">
        <v>274</v>
      </c>
      <c r="C3" s="95"/>
      <c r="D3" s="96"/>
      <c r="E3" s="97"/>
      <c r="P3" s="94"/>
      <c r="Q3" s="94"/>
    </row>
    <row r="4" spans="1:17" ht="15.75">
      <c r="A4" s="91"/>
      <c r="E4" s="98"/>
      <c r="P4" s="94"/>
      <c r="Q4" s="94"/>
    </row>
    <row r="5" spans="1:17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P5" s="94"/>
      <c r="Q5" s="94"/>
    </row>
    <row r="6" spans="1:17" ht="47.25">
      <c r="A6" s="104" t="s">
        <v>147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P6" s="94"/>
      <c r="Q6" s="94"/>
    </row>
    <row r="7" spans="1:15" s="93" customFormat="1" ht="31.5">
      <c r="A7" s="252" t="s">
        <v>293</v>
      </c>
      <c r="B7" s="102">
        <f>('3.Выручка'!B7+'3.Выручка'!B16)*0.03</f>
        <v>24300</v>
      </c>
      <c r="C7" s="102">
        <f>('3.Выручка'!C7+'3.Выручка'!C16)*0.03</f>
        <v>26100</v>
      </c>
      <c r="D7" s="102">
        <f>('3.Выручка'!D7+'3.Выручка'!D16)*0.03</f>
        <v>27900</v>
      </c>
      <c r="E7" s="102">
        <f>('3.Выручка'!E7+'3.Выручка'!E16)*0.03</f>
        <v>31320</v>
      </c>
      <c r="F7" s="102">
        <f>('3.Выручка'!F7+'3.Выручка'!F16)*0.03</f>
        <v>33120</v>
      </c>
      <c r="G7" s="102">
        <f>('3.Выручка'!G7+'3.Выручка'!G16)*0.03</f>
        <v>31320</v>
      </c>
      <c r="H7" s="102">
        <f>('3.Выручка'!H7+'3.Выручка'!H16)*0.03</f>
        <v>29340</v>
      </c>
      <c r="I7" s="102">
        <f>('3.Выручка'!I7+'3.Выручка'!I16)*0.03</f>
        <v>22140</v>
      </c>
      <c r="J7" s="102">
        <f>('3.Выручка'!J7+'3.Выручка'!J16)*0.03</f>
        <v>20340</v>
      </c>
      <c r="K7" s="102">
        <f>('3.Выручка'!K7+'3.Выручка'!K16)*0.03</f>
        <v>18540</v>
      </c>
      <c r="L7" s="102">
        <f>('3.Выручка'!L7+'3.Выручка'!L16)*0.03</f>
        <v>29340</v>
      </c>
      <c r="M7" s="102">
        <f>('3.Выручка'!M7+'3.Выручка'!M16)*0.03</f>
        <v>38340</v>
      </c>
      <c r="N7" s="100">
        <f>SUM(B7:M7)</f>
        <v>332100</v>
      </c>
      <c r="O7" s="92"/>
    </row>
    <row r="8" spans="1:15" s="93" customFormat="1" ht="15.75">
      <c r="A8" s="252" t="s">
        <v>276</v>
      </c>
      <c r="B8" s="102">
        <f>'3.Выручка'!B10*0.55</f>
        <v>618750</v>
      </c>
      <c r="C8" s="102">
        <f>'3.Выручка'!C10*0.55</f>
        <v>825000.0000000001</v>
      </c>
      <c r="D8" s="102">
        <f>'3.Выручка'!D10*0.55</f>
        <v>1031250.0000000001</v>
      </c>
      <c r="E8" s="102">
        <f>'3.Выручка'!E10*0.55</f>
        <v>1237500</v>
      </c>
      <c r="F8" s="102">
        <f>'3.Выручка'!F10*0.55</f>
        <v>1443750.0000000002</v>
      </c>
      <c r="G8" s="102">
        <f>'3.Выручка'!G10*0.55</f>
        <v>1650000.0000000002</v>
      </c>
      <c r="H8" s="102">
        <f>'3.Выручка'!H10*0.55</f>
        <v>1443750.0000000002</v>
      </c>
      <c r="I8" s="102">
        <f>'3.Выручка'!I10*0.55</f>
        <v>1237500</v>
      </c>
      <c r="J8" s="102">
        <f>'3.Выручка'!J10*0.55</f>
        <v>1031250.0000000001</v>
      </c>
      <c r="K8" s="102">
        <f>'3.Выручка'!K10*0.55</f>
        <v>825000.0000000001</v>
      </c>
      <c r="L8" s="102">
        <f>'3.Выручка'!L10*0.55</f>
        <v>618750</v>
      </c>
      <c r="M8" s="102">
        <f>'3.Выручка'!M10*0.55</f>
        <v>1237500</v>
      </c>
      <c r="N8" s="100">
        <f>SUM(B8:M8)</f>
        <v>13200000</v>
      </c>
      <c r="O8" s="92"/>
    </row>
    <row r="9" spans="1:15" s="93" customFormat="1" ht="31.5">
      <c r="A9" s="252" t="s">
        <v>277</v>
      </c>
      <c r="B9" s="253">
        <f>'3.Выручка'!B13*0.55</f>
        <v>415800.00000000006</v>
      </c>
      <c r="C9" s="253">
        <f>'3.Выручка'!C13*0.55</f>
        <v>462000.00000000006</v>
      </c>
      <c r="D9" s="253">
        <f>'3.Выручка'!D13*0.55</f>
        <v>508200.00000000006</v>
      </c>
      <c r="E9" s="253">
        <f>'3.Выручка'!E13*0.55</f>
        <v>554400</v>
      </c>
      <c r="F9" s="253">
        <f>'3.Выручка'!F13*0.55</f>
        <v>600600</v>
      </c>
      <c r="G9" s="253">
        <f>'3.Выручка'!G13*0.55</f>
        <v>554400</v>
      </c>
      <c r="H9" s="253">
        <f>'3.Выручка'!H13*0.55</f>
        <v>462000.00000000006</v>
      </c>
      <c r="I9" s="253">
        <f>'3.Выручка'!I13*0.55</f>
        <v>277200</v>
      </c>
      <c r="J9" s="253">
        <f>'3.Выручка'!J13*0.55</f>
        <v>231000.00000000003</v>
      </c>
      <c r="K9" s="253">
        <f>'3.Выручка'!K13*0.55</f>
        <v>184800.00000000003</v>
      </c>
      <c r="L9" s="253">
        <f>'3.Выручка'!L13*0.55</f>
        <v>462000.00000000006</v>
      </c>
      <c r="M9" s="253">
        <f>'3.Выручка'!M13*0.55</f>
        <v>693000</v>
      </c>
      <c r="N9" s="100">
        <f>SUM(B9:M9)</f>
        <v>5405400</v>
      </c>
      <c r="O9" s="92"/>
    </row>
    <row r="10" spans="1:15" s="93" customFormat="1" ht="15.75">
      <c r="A10" s="106" t="s">
        <v>0</v>
      </c>
      <c r="B10" s="100">
        <f>SUM(B7:B9)</f>
        <v>1058850</v>
      </c>
      <c r="C10" s="100">
        <f aca="true" t="shared" si="0" ref="C10:M10">SUM(C7:C9)</f>
        <v>1313100.0000000002</v>
      </c>
      <c r="D10" s="100">
        <f t="shared" si="0"/>
        <v>1567350</v>
      </c>
      <c r="E10" s="100">
        <f t="shared" si="0"/>
        <v>1823220</v>
      </c>
      <c r="F10" s="100">
        <f t="shared" si="0"/>
        <v>2077470.0000000002</v>
      </c>
      <c r="G10" s="100">
        <f t="shared" si="0"/>
        <v>2235720</v>
      </c>
      <c r="H10" s="100">
        <f t="shared" si="0"/>
        <v>1935090.0000000002</v>
      </c>
      <c r="I10" s="100">
        <f t="shared" si="0"/>
        <v>1536840</v>
      </c>
      <c r="J10" s="100">
        <f t="shared" si="0"/>
        <v>1282590</v>
      </c>
      <c r="K10" s="100">
        <f t="shared" si="0"/>
        <v>1028340.0000000001</v>
      </c>
      <c r="L10" s="100">
        <f t="shared" si="0"/>
        <v>1110090</v>
      </c>
      <c r="M10" s="100">
        <f t="shared" si="0"/>
        <v>1968840</v>
      </c>
      <c r="N10" s="100">
        <f>SUM(B10:M10)</f>
        <v>18937500</v>
      </c>
      <c r="O10" s="92"/>
    </row>
    <row r="11" ht="15.75">
      <c r="A11" s="91"/>
    </row>
    <row r="12" ht="15.75">
      <c r="A12" s="91" t="s">
        <v>29</v>
      </c>
    </row>
    <row r="13" spans="1:17" ht="47.25">
      <c r="A13" s="104" t="s">
        <v>12</v>
      </c>
      <c r="B13" s="104" t="s">
        <v>262</v>
      </c>
      <c r="C13" s="104" t="s">
        <v>263</v>
      </c>
      <c r="D13" s="104" t="s">
        <v>264</v>
      </c>
      <c r="E13" s="104" t="s">
        <v>265</v>
      </c>
      <c r="F13" s="104" t="s">
        <v>266</v>
      </c>
      <c r="G13" s="104" t="s">
        <v>267</v>
      </c>
      <c r="H13" s="104" t="s">
        <v>268</v>
      </c>
      <c r="I13" s="104" t="s">
        <v>269</v>
      </c>
      <c r="J13" s="104" t="s">
        <v>270</v>
      </c>
      <c r="K13" s="104" t="s">
        <v>271</v>
      </c>
      <c r="L13" s="104" t="s">
        <v>273</v>
      </c>
      <c r="M13" s="104" t="s">
        <v>272</v>
      </c>
      <c r="N13" s="104" t="s">
        <v>0</v>
      </c>
      <c r="P13" s="94"/>
      <c r="Q13" s="94"/>
    </row>
    <row r="14" spans="1:14" s="93" customFormat="1" ht="31.5">
      <c r="A14" s="252" t="s">
        <v>279</v>
      </c>
      <c r="B14" s="102">
        <f>('3.Выручка'!B23+'3.Выручка'!B32)*0.03</f>
        <v>40500</v>
      </c>
      <c r="C14" s="102">
        <f>('3.Выручка'!C23+'3.Выручка'!C32)*0.03</f>
        <v>40500</v>
      </c>
      <c r="D14" s="102">
        <f>('3.Выручка'!D23+'3.Выручка'!D32)*0.03</f>
        <v>40500</v>
      </c>
      <c r="E14" s="102">
        <f>('3.Выручка'!E23+'3.Выручка'!E32)*0.03</f>
        <v>40500</v>
      </c>
      <c r="F14" s="102">
        <f>('3.Выручка'!F23+'3.Выручка'!F32)*0.03</f>
        <v>40500</v>
      </c>
      <c r="G14" s="102">
        <f>('3.Выручка'!G23+'3.Выручка'!G32)*0.03</f>
        <v>35100</v>
      </c>
      <c r="H14" s="102">
        <f>('3.Выручка'!H23+'3.Выручка'!H32)*0.03</f>
        <v>31500</v>
      </c>
      <c r="I14" s="102">
        <f>('3.Выручка'!I23+'3.Выручка'!I32)*0.03</f>
        <v>27900</v>
      </c>
      <c r="J14" s="102">
        <f>('3.Выручка'!J23+'3.Выручка'!J32)*0.03</f>
        <v>26100</v>
      </c>
      <c r="K14" s="102">
        <f>('3.Выручка'!K23+'3.Выручка'!K32)*0.03</f>
        <v>24300</v>
      </c>
      <c r="L14" s="102">
        <f>('3.Выручка'!L23+'3.Выручка'!L32)*0.03</f>
        <v>31500</v>
      </c>
      <c r="M14" s="102">
        <f>('3.Выручка'!M23+'3.Выручка'!M32)*0.03</f>
        <v>40500</v>
      </c>
      <c r="N14" s="100">
        <f>SUM(B14:M14)</f>
        <v>419400</v>
      </c>
    </row>
    <row r="15" spans="1:14" s="93" customFormat="1" ht="15.75">
      <c r="A15" s="252" t="s">
        <v>276</v>
      </c>
      <c r="B15" s="102">
        <f>'3.Выручка'!B26*0.55</f>
        <v>1443750.0000000002</v>
      </c>
      <c r="C15" s="102">
        <f>'3.Выручка'!C26*0.55</f>
        <v>1650000.0000000002</v>
      </c>
      <c r="D15" s="102">
        <f>'3.Выручка'!D26*0.55</f>
        <v>2062500.0000000002</v>
      </c>
      <c r="E15" s="102">
        <f>'3.Выручка'!E26*0.55</f>
        <v>2062500.0000000002</v>
      </c>
      <c r="F15" s="102">
        <f>'3.Выручка'!F26*0.55</f>
        <v>2062500.0000000002</v>
      </c>
      <c r="G15" s="102">
        <f>'3.Выручка'!G26*0.55</f>
        <v>1856250.0000000002</v>
      </c>
      <c r="H15" s="102">
        <f>'3.Выручка'!H26*0.55</f>
        <v>1650000.0000000002</v>
      </c>
      <c r="I15" s="102">
        <f>'3.Выручка'!I26*0.55</f>
        <v>1443750.0000000002</v>
      </c>
      <c r="J15" s="102">
        <f>'3.Выручка'!J26*0.55</f>
        <v>1237500</v>
      </c>
      <c r="K15" s="102">
        <f>'3.Выручка'!K26*0.55</f>
        <v>1031250.0000000001</v>
      </c>
      <c r="L15" s="102">
        <f>'3.Выручка'!L26*0.55</f>
        <v>1237500</v>
      </c>
      <c r="M15" s="102">
        <f>'3.Выручка'!M26*0.55</f>
        <v>1650000.0000000002</v>
      </c>
      <c r="N15" s="100">
        <f>SUM(B15:M15)</f>
        <v>19387500</v>
      </c>
    </row>
    <row r="16" spans="1:14" s="93" customFormat="1" ht="31.5">
      <c r="A16" s="252" t="s">
        <v>277</v>
      </c>
      <c r="B16" s="253">
        <f>'3.Выручка'!B29*0.55</f>
        <v>891000.0000000001</v>
      </c>
      <c r="C16" s="253">
        <f>'3.Выручка'!C29*0.55</f>
        <v>891000.0000000001</v>
      </c>
      <c r="D16" s="253">
        <f>'3.Выручка'!D29*0.55</f>
        <v>891000.0000000001</v>
      </c>
      <c r="E16" s="253">
        <f>'3.Выручка'!E29*0.55</f>
        <v>891000.0000000001</v>
      </c>
      <c r="F16" s="253">
        <f>'3.Выручка'!F29*0.55</f>
        <v>891000.0000000001</v>
      </c>
      <c r="G16" s="253">
        <f>'3.Выручка'!G29*0.55</f>
        <v>712800</v>
      </c>
      <c r="H16" s="253">
        <f>'3.Выручка'!H29*0.55</f>
        <v>594000</v>
      </c>
      <c r="I16" s="253">
        <f>'3.Выручка'!I29*0.55</f>
        <v>475200.00000000006</v>
      </c>
      <c r="J16" s="253">
        <f>'3.Выручка'!J29*0.55</f>
        <v>415800.00000000006</v>
      </c>
      <c r="K16" s="253">
        <f>'3.Выручка'!K29*0.55</f>
        <v>356400</v>
      </c>
      <c r="L16" s="253">
        <f>'3.Выручка'!L29*0.55</f>
        <v>594000</v>
      </c>
      <c r="M16" s="253">
        <f>'3.Выручка'!M29*0.55</f>
        <v>891000.0000000001</v>
      </c>
      <c r="N16" s="100">
        <f>SUM(B16:M16)</f>
        <v>8494200.000000002</v>
      </c>
    </row>
    <row r="17" spans="1:14" s="93" customFormat="1" ht="15.75">
      <c r="A17" s="106" t="s">
        <v>0</v>
      </c>
      <c r="B17" s="100">
        <f>SUM(B14:B16)</f>
        <v>2375250.0000000005</v>
      </c>
      <c r="C17" s="100">
        <f aca="true" t="shared" si="1" ref="C17:M17">SUM(C14:C16)</f>
        <v>2581500.0000000005</v>
      </c>
      <c r="D17" s="100">
        <f t="shared" si="1"/>
        <v>2994000</v>
      </c>
      <c r="E17" s="100">
        <f t="shared" si="1"/>
        <v>2994000</v>
      </c>
      <c r="F17" s="100">
        <f t="shared" si="1"/>
        <v>2994000</v>
      </c>
      <c r="G17" s="100">
        <f t="shared" si="1"/>
        <v>2604150</v>
      </c>
      <c r="H17" s="100">
        <f t="shared" si="1"/>
        <v>2275500</v>
      </c>
      <c r="I17" s="100">
        <f t="shared" si="1"/>
        <v>1946850.0000000002</v>
      </c>
      <c r="J17" s="100">
        <f t="shared" si="1"/>
        <v>1679400</v>
      </c>
      <c r="K17" s="100">
        <f t="shared" si="1"/>
        <v>1411950</v>
      </c>
      <c r="L17" s="100">
        <f t="shared" si="1"/>
        <v>1863000</v>
      </c>
      <c r="M17" s="100">
        <f t="shared" si="1"/>
        <v>2581500.0000000005</v>
      </c>
      <c r="N17" s="100">
        <f>SUM(B17:M17)</f>
        <v>28301100</v>
      </c>
    </row>
    <row r="19" ht="15.75">
      <c r="A19" s="92" t="s">
        <v>146</v>
      </c>
    </row>
    <row r="20" ht="15.75">
      <c r="A20" s="92" t="s">
        <v>178</v>
      </c>
    </row>
    <row r="23" spans="1:3" ht="15.75" hidden="1">
      <c r="A23" s="193" t="s">
        <v>179</v>
      </c>
      <c r="B23" s="194"/>
      <c r="C23" s="194"/>
    </row>
    <row r="24" spans="1:3" ht="15.75" hidden="1">
      <c r="A24" s="193"/>
      <c r="B24" s="194"/>
      <c r="C24" s="194"/>
    </row>
    <row r="25" spans="1:3" ht="28.5" hidden="1">
      <c r="A25" s="195" t="s">
        <v>180</v>
      </c>
      <c r="B25" s="195" t="s">
        <v>181</v>
      </c>
      <c r="C25" s="196"/>
    </row>
    <row r="26" spans="1:3" ht="15.75" hidden="1">
      <c r="A26" s="196"/>
      <c r="B26" s="196" t="s">
        <v>182</v>
      </c>
      <c r="C26" s="196" t="s">
        <v>183</v>
      </c>
    </row>
    <row r="27" spans="1:3" ht="28.5" hidden="1">
      <c r="A27" s="197" t="s">
        <v>184</v>
      </c>
      <c r="B27" s="223">
        <f>$B$43*C27</f>
        <v>47.50028063465453</v>
      </c>
      <c r="C27" s="198">
        <v>0.2950327989730095</v>
      </c>
    </row>
    <row r="28" spans="1:3" ht="30" hidden="1">
      <c r="A28" s="199" t="s">
        <v>278</v>
      </c>
      <c r="B28" s="223">
        <f>$B$43*C28</f>
        <v>31.70876578717019</v>
      </c>
      <c r="C28" s="198">
        <v>0.19694885582093286</v>
      </c>
    </row>
    <row r="29" spans="1:3" ht="15.75" hidden="1">
      <c r="A29" s="199" t="s">
        <v>185</v>
      </c>
      <c r="B29" s="223">
        <f aca="true" t="shared" si="2" ref="B29:B42">$B$43*C29</f>
        <v>8.757659122170814</v>
      </c>
      <c r="C29" s="198">
        <v>0.05439539827435288</v>
      </c>
    </row>
    <row r="30" spans="1:3" ht="15.75" hidden="1">
      <c r="A30" s="199" t="s">
        <v>186</v>
      </c>
      <c r="B30" s="223">
        <f t="shared" si="2"/>
        <v>6.341753157434038</v>
      </c>
      <c r="C30" s="198">
        <v>0.03938977116418657</v>
      </c>
    </row>
    <row r="31" spans="1:3" ht="15.75" hidden="1">
      <c r="A31" s="197" t="s">
        <v>187</v>
      </c>
      <c r="B31" s="223">
        <f t="shared" si="2"/>
        <v>1.117356508690759</v>
      </c>
      <c r="C31" s="198">
        <v>0.00694010253845192</v>
      </c>
    </row>
    <row r="32" spans="1:3" ht="15.75" hidden="1">
      <c r="A32" s="199" t="s">
        <v>188</v>
      </c>
      <c r="B32" s="223">
        <f t="shared" si="2"/>
        <v>0.9059647367762911</v>
      </c>
      <c r="C32" s="198">
        <v>0.005627110166312367</v>
      </c>
    </row>
    <row r="33" spans="1:3" ht="15.75" hidden="1">
      <c r="A33" s="199" t="s">
        <v>189</v>
      </c>
      <c r="B33" s="223">
        <f t="shared" si="2"/>
        <v>0.10066274853069902</v>
      </c>
      <c r="C33" s="198">
        <v>0.0006252344629235964</v>
      </c>
    </row>
    <row r="34" spans="1:3" ht="15.75" hidden="1">
      <c r="A34" s="199" t="s">
        <v>190</v>
      </c>
      <c r="B34" s="223">
        <f t="shared" si="2"/>
        <v>0.05033137426534951</v>
      </c>
      <c r="C34" s="198">
        <v>0.0003126172314617982</v>
      </c>
    </row>
    <row r="35" spans="1:3" ht="15.75" hidden="1">
      <c r="A35" s="199" t="s">
        <v>191</v>
      </c>
      <c r="B35" s="223">
        <f t="shared" si="2"/>
        <v>6.7620000000000005</v>
      </c>
      <c r="C35" s="198">
        <v>0.042</v>
      </c>
    </row>
    <row r="36" spans="1:3" ht="28.5" hidden="1">
      <c r="A36" s="197" t="s">
        <v>192</v>
      </c>
      <c r="B36" s="223">
        <f t="shared" si="2"/>
        <v>3.7245216956358633</v>
      </c>
      <c r="C36" s="198">
        <v>0.023133675128173065</v>
      </c>
    </row>
    <row r="37" spans="1:3" ht="15.75" hidden="1">
      <c r="A37" s="197" t="s">
        <v>193</v>
      </c>
      <c r="B37" s="223">
        <f t="shared" si="2"/>
        <v>27.015077529073423</v>
      </c>
      <c r="C37" s="198">
        <v>0.1677955126029405</v>
      </c>
    </row>
    <row r="38" spans="1:3" ht="30" hidden="1">
      <c r="A38" s="199" t="s">
        <v>194</v>
      </c>
      <c r="B38" s="223">
        <f t="shared" si="2"/>
        <v>7.49721770663999</v>
      </c>
      <c r="C38" s="198">
        <v>0.046566569606459565</v>
      </c>
    </row>
    <row r="39" spans="1:3" ht="30" hidden="1">
      <c r="A39" s="199" t="s">
        <v>195</v>
      </c>
      <c r="B39" s="223">
        <f t="shared" si="2"/>
        <v>0.8628235588345627</v>
      </c>
      <c r="C39" s="198">
        <v>0.00535915253934511</v>
      </c>
    </row>
    <row r="40" spans="1:3" ht="30" hidden="1">
      <c r="A40" s="199" t="s">
        <v>196</v>
      </c>
      <c r="B40" s="223">
        <f t="shared" si="2"/>
        <v>1.7917969238464426</v>
      </c>
      <c r="C40" s="198">
        <v>0.011129173440040016</v>
      </c>
    </row>
    <row r="41" spans="1:3" ht="15.75" hidden="1">
      <c r="A41" s="199" t="s">
        <v>197</v>
      </c>
      <c r="B41" s="223">
        <f>$B$43*C41</f>
        <v>14.614074027760427</v>
      </c>
      <c r="C41" s="200">
        <v>0.09077064613515794</v>
      </c>
    </row>
    <row r="42" spans="1:3" ht="15.75" hidden="1">
      <c r="A42" s="199" t="s">
        <v>198</v>
      </c>
      <c r="B42" s="223">
        <f t="shared" si="2"/>
        <v>2.2491653119919968</v>
      </c>
      <c r="C42" s="198">
        <v>0.013969970881937868</v>
      </c>
    </row>
    <row r="43" spans="1:3" ht="57" hidden="1">
      <c r="A43" s="195" t="s">
        <v>199</v>
      </c>
      <c r="B43" s="201">
        <v>161</v>
      </c>
      <c r="C43" s="202">
        <v>1</v>
      </c>
    </row>
  </sheetData>
  <sheetProtection/>
  <printOptions/>
  <pageMargins left="0.7480314960629921" right="0.7480314960629921" top="0.4330708661417323" bottom="0.5118110236220472" header="0.1968503937007874" footer="0.196850393700787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421875" style="229" customWidth="1"/>
    <col min="2" max="2" width="14.421875" style="228" bestFit="1" customWidth="1"/>
    <col min="3" max="4" width="11.28125" style="228" bestFit="1" customWidth="1"/>
    <col min="5" max="6" width="12.7109375" style="228" customWidth="1"/>
    <col min="7" max="7" width="14.421875" style="228" customWidth="1"/>
    <col min="8" max="8" width="15.140625" style="228" customWidth="1"/>
    <col min="9" max="9" width="16.00390625" style="228" customWidth="1"/>
    <col min="10" max="10" width="15.140625" style="228" customWidth="1"/>
    <col min="11" max="11" width="16.28125" style="228" customWidth="1"/>
    <col min="12" max="12" width="18.00390625" style="228" customWidth="1"/>
    <col min="13" max="16384" width="9.140625" style="228" customWidth="1"/>
  </cols>
  <sheetData>
    <row r="1" ht="15.75">
      <c r="A1" s="227"/>
    </row>
    <row r="3" ht="15.75">
      <c r="A3" s="229" t="s">
        <v>83</v>
      </c>
    </row>
    <row r="5" spans="1:12" s="231" customFormat="1" ht="15.75">
      <c r="A5" s="230"/>
      <c r="B5" s="230"/>
      <c r="C5" s="230" t="s">
        <v>28</v>
      </c>
      <c r="D5" s="230" t="s">
        <v>29</v>
      </c>
      <c r="E5" s="230" t="s">
        <v>30</v>
      </c>
      <c r="F5" s="230" t="s">
        <v>31</v>
      </c>
      <c r="G5" s="230" t="s">
        <v>32</v>
      </c>
      <c r="H5" s="230" t="s">
        <v>120</v>
      </c>
      <c r="I5" s="230" t="s">
        <v>122</v>
      </c>
      <c r="J5" s="230" t="s">
        <v>142</v>
      </c>
      <c r="K5" s="230" t="s">
        <v>143</v>
      </c>
      <c r="L5" s="230" t="s">
        <v>144</v>
      </c>
    </row>
    <row r="6" spans="1:12" s="231" customFormat="1" ht="15.75">
      <c r="A6" s="232" t="s">
        <v>84</v>
      </c>
      <c r="B6" s="232" t="s">
        <v>85</v>
      </c>
      <c r="C6" s="232" t="s">
        <v>73</v>
      </c>
      <c r="D6" s="232" t="s">
        <v>73</v>
      </c>
      <c r="E6" s="232" t="s">
        <v>73</v>
      </c>
      <c r="F6" s="232" t="s">
        <v>73</v>
      </c>
      <c r="G6" s="232" t="s">
        <v>73</v>
      </c>
      <c r="H6" s="232" t="s">
        <v>73</v>
      </c>
      <c r="I6" s="232" t="s">
        <v>73</v>
      </c>
      <c r="J6" s="232" t="s">
        <v>73</v>
      </c>
      <c r="K6" s="232" t="s">
        <v>73</v>
      </c>
      <c r="L6" s="232" t="s">
        <v>73</v>
      </c>
    </row>
    <row r="7" spans="1:12" ht="15.75">
      <c r="A7" s="233" t="s">
        <v>86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5.75">
      <c r="A8" s="236" t="s">
        <v>82</v>
      </c>
      <c r="B8" s="237">
        <f>'2.Персонал'!C6</f>
        <v>790000</v>
      </c>
      <c r="C8" s="238">
        <f aca="true" t="shared" si="0" ref="C8:C16">B8*12</f>
        <v>9480000</v>
      </c>
      <c r="D8" s="238">
        <f aca="true" t="shared" si="1" ref="D8:I8">C8*1.02</f>
        <v>9669600</v>
      </c>
      <c r="E8" s="238">
        <f t="shared" si="1"/>
        <v>9862992</v>
      </c>
      <c r="F8" s="238">
        <f t="shared" si="1"/>
        <v>10060251.84</v>
      </c>
      <c r="G8" s="238">
        <f t="shared" si="1"/>
        <v>10261456.8768</v>
      </c>
      <c r="H8" s="238">
        <f t="shared" si="1"/>
        <v>10466686.014336001</v>
      </c>
      <c r="I8" s="238">
        <f t="shared" si="1"/>
        <v>10676019.73462272</v>
      </c>
      <c r="J8" s="238">
        <f aca="true" t="shared" si="2" ref="J8:L12">I8*1.02</f>
        <v>10889540.129315175</v>
      </c>
      <c r="K8" s="238">
        <f t="shared" si="2"/>
        <v>11107330.93190148</v>
      </c>
      <c r="L8" s="238">
        <f t="shared" si="2"/>
        <v>11329477.550539508</v>
      </c>
    </row>
    <row r="9" spans="1:12" ht="15.75">
      <c r="A9" s="239" t="s">
        <v>87</v>
      </c>
      <c r="B9" s="240">
        <f>'6.ОПУ'!B19</f>
        <v>32271.5</v>
      </c>
      <c r="C9" s="241">
        <f t="shared" si="0"/>
        <v>387258</v>
      </c>
      <c r="D9" s="241">
        <f aca="true" t="shared" si="3" ref="D9:I16">C9*1.02</f>
        <v>395003.16000000003</v>
      </c>
      <c r="E9" s="241">
        <f t="shared" si="3"/>
        <v>402903.22320000007</v>
      </c>
      <c r="F9" s="241">
        <f>E9*1.02</f>
        <v>410961.28766400006</v>
      </c>
      <c r="G9" s="241">
        <f>F9*1.02</f>
        <v>419180.51341728005</v>
      </c>
      <c r="H9" s="241">
        <f t="shared" si="3"/>
        <v>427564.1236856257</v>
      </c>
      <c r="I9" s="241">
        <f t="shared" si="3"/>
        <v>436115.4061593382</v>
      </c>
      <c r="J9" s="241">
        <f t="shared" si="2"/>
        <v>444837.71428252495</v>
      </c>
      <c r="K9" s="241">
        <f t="shared" si="2"/>
        <v>453734.46856817545</v>
      </c>
      <c r="L9" s="241">
        <f t="shared" si="2"/>
        <v>462809.15793953894</v>
      </c>
    </row>
    <row r="10" spans="1:12" ht="15.75">
      <c r="A10" s="239" t="s">
        <v>280</v>
      </c>
      <c r="B10" s="240">
        <v>750000</v>
      </c>
      <c r="C10" s="248">
        <f>B10*12</f>
        <v>9000000</v>
      </c>
      <c r="D10" s="248">
        <f>C10*1.02</f>
        <v>9180000</v>
      </c>
      <c r="E10" s="248">
        <f>D10*1.02</f>
        <v>9363600</v>
      </c>
      <c r="F10" s="248">
        <f t="shared" si="3"/>
        <v>9550872</v>
      </c>
      <c r="G10" s="248">
        <f>F10*1.02</f>
        <v>9741889.44</v>
      </c>
      <c r="H10" s="248">
        <f>G10*1.02</f>
        <v>9936727.228799999</v>
      </c>
      <c r="I10" s="248">
        <f>H10*1.02</f>
        <v>10135461.773376</v>
      </c>
      <c r="J10" s="248">
        <f t="shared" si="2"/>
        <v>10338171.008843519</v>
      </c>
      <c r="K10" s="248">
        <f>J10*1.02</f>
        <v>10544934.42902039</v>
      </c>
      <c r="L10" s="248">
        <f t="shared" si="2"/>
        <v>10755833.117600799</v>
      </c>
    </row>
    <row r="11" spans="1:12" ht="15.75">
      <c r="A11" s="239" t="s">
        <v>200</v>
      </c>
      <c r="B11" s="240">
        <v>95000</v>
      </c>
      <c r="C11" s="241">
        <f>B11*12</f>
        <v>1140000</v>
      </c>
      <c r="D11" s="241">
        <f aca="true" t="shared" si="4" ref="D11:L11">C11*1.02</f>
        <v>1162800</v>
      </c>
      <c r="E11" s="241">
        <f t="shared" si="4"/>
        <v>1186056</v>
      </c>
      <c r="F11" s="241">
        <f t="shared" si="4"/>
        <v>1209777.12</v>
      </c>
      <c r="G11" s="241">
        <f t="shared" si="4"/>
        <v>1233972.6624</v>
      </c>
      <c r="H11" s="241">
        <f t="shared" si="4"/>
        <v>1258652.115648</v>
      </c>
      <c r="I11" s="241">
        <f t="shared" si="4"/>
        <v>1283825.15796096</v>
      </c>
      <c r="J11" s="241">
        <f t="shared" si="4"/>
        <v>1309501.661120179</v>
      </c>
      <c r="K11" s="241">
        <f t="shared" si="4"/>
        <v>1335691.6943425827</v>
      </c>
      <c r="L11" s="241">
        <f t="shared" si="4"/>
        <v>1362405.5282294345</v>
      </c>
    </row>
    <row r="12" spans="1:12" ht="15.75">
      <c r="A12" s="239" t="s">
        <v>90</v>
      </c>
      <c r="B12" s="240">
        <v>15000</v>
      </c>
      <c r="C12" s="241">
        <f t="shared" si="0"/>
        <v>180000</v>
      </c>
      <c r="D12" s="241">
        <f t="shared" si="3"/>
        <v>183600</v>
      </c>
      <c r="E12" s="241">
        <f t="shared" si="3"/>
        <v>187272</v>
      </c>
      <c r="F12" s="241">
        <f t="shared" si="3"/>
        <v>191017.44</v>
      </c>
      <c r="G12" s="241">
        <f t="shared" si="3"/>
        <v>194837.7888</v>
      </c>
      <c r="H12" s="241">
        <f t="shared" si="3"/>
        <v>198734.54457600001</v>
      </c>
      <c r="I12" s="241">
        <f t="shared" si="3"/>
        <v>202709.23546752002</v>
      </c>
      <c r="J12" s="241">
        <f t="shared" si="2"/>
        <v>206763.42017687042</v>
      </c>
      <c r="K12" s="241">
        <f t="shared" si="2"/>
        <v>210898.68858040785</v>
      </c>
      <c r="L12" s="241">
        <f t="shared" si="2"/>
        <v>215116.66235201602</v>
      </c>
    </row>
    <row r="13" spans="1:12" ht="31.5">
      <c r="A13" s="242" t="s">
        <v>91</v>
      </c>
      <c r="B13" s="240">
        <v>18000</v>
      </c>
      <c r="C13" s="241">
        <f t="shared" si="0"/>
        <v>216000</v>
      </c>
      <c r="D13" s="241">
        <f t="shared" si="3"/>
        <v>220320</v>
      </c>
      <c r="E13" s="241">
        <f t="shared" si="3"/>
        <v>224726.4</v>
      </c>
      <c r="F13" s="241">
        <f t="shared" si="3"/>
        <v>229220.92799999999</v>
      </c>
      <c r="G13" s="241">
        <f t="shared" si="3"/>
        <v>233805.34655999998</v>
      </c>
      <c r="H13" s="241">
        <f t="shared" si="3"/>
        <v>238481.4534912</v>
      </c>
      <c r="I13" s="241">
        <f t="shared" si="3"/>
        <v>243251.082561024</v>
      </c>
      <c r="J13" s="241">
        <f aca="true" t="shared" si="5" ref="J13:L14">I13*1.02</f>
        <v>248116.10421224448</v>
      </c>
      <c r="K13" s="241">
        <f t="shared" si="5"/>
        <v>253078.42629648937</v>
      </c>
      <c r="L13" s="241">
        <f t="shared" si="5"/>
        <v>258139.99482241916</v>
      </c>
    </row>
    <row r="14" spans="1:12" ht="31.5">
      <c r="A14" s="242" t="s">
        <v>152</v>
      </c>
      <c r="B14" s="240">
        <v>80000</v>
      </c>
      <c r="C14" s="241">
        <f t="shared" si="0"/>
        <v>960000</v>
      </c>
      <c r="D14" s="241">
        <f t="shared" si="3"/>
        <v>979200</v>
      </c>
      <c r="E14" s="241">
        <f t="shared" si="3"/>
        <v>998784</v>
      </c>
      <c r="F14" s="241">
        <f t="shared" si="3"/>
        <v>1018759.68</v>
      </c>
      <c r="G14" s="241">
        <f t="shared" si="3"/>
        <v>1039134.8736</v>
      </c>
      <c r="H14" s="241">
        <f t="shared" si="3"/>
        <v>1059917.571072</v>
      </c>
      <c r="I14" s="241">
        <f t="shared" si="3"/>
        <v>1081115.92249344</v>
      </c>
      <c r="J14" s="241">
        <f t="shared" si="5"/>
        <v>1102738.240943309</v>
      </c>
      <c r="K14" s="241">
        <f t="shared" si="5"/>
        <v>1124793.0057621752</v>
      </c>
      <c r="L14" s="241">
        <f t="shared" si="5"/>
        <v>1147288.8658774188</v>
      </c>
    </row>
    <row r="15" spans="1:12" ht="47.25" customHeight="1">
      <c r="A15" s="242" t="s">
        <v>298</v>
      </c>
      <c r="B15" s="240">
        <v>100000</v>
      </c>
      <c r="C15" s="241">
        <f t="shared" si="0"/>
        <v>1200000</v>
      </c>
      <c r="D15" s="241">
        <f t="shared" si="3"/>
        <v>1224000</v>
      </c>
      <c r="E15" s="241">
        <f t="shared" si="3"/>
        <v>1248480</v>
      </c>
      <c r="F15" s="241">
        <f t="shared" si="3"/>
        <v>1273449.6</v>
      </c>
      <c r="G15" s="241">
        <f t="shared" si="3"/>
        <v>1298918.5920000002</v>
      </c>
      <c r="H15" s="241">
        <f t="shared" si="3"/>
        <v>1324896.96384</v>
      </c>
      <c r="I15" s="241">
        <f t="shared" si="3"/>
        <v>1351394.9031168001</v>
      </c>
      <c r="J15" s="241">
        <f aca="true" t="shared" si="6" ref="J15:L16">I15*1.02</f>
        <v>1378422.8011791361</v>
      </c>
      <c r="K15" s="241">
        <f t="shared" si="6"/>
        <v>1405991.2572027189</v>
      </c>
      <c r="L15" s="241">
        <f t="shared" si="6"/>
        <v>1434111.0823467732</v>
      </c>
    </row>
    <row r="16" spans="1:12" ht="15.75">
      <c r="A16" s="239" t="s">
        <v>89</v>
      </c>
      <c r="B16" s="240">
        <v>20000</v>
      </c>
      <c r="C16" s="241">
        <f t="shared" si="0"/>
        <v>240000</v>
      </c>
      <c r="D16" s="241">
        <f t="shared" si="3"/>
        <v>244800</v>
      </c>
      <c r="E16" s="241">
        <f t="shared" si="3"/>
        <v>249696</v>
      </c>
      <c r="F16" s="241">
        <f t="shared" si="3"/>
        <v>254689.92</v>
      </c>
      <c r="G16" s="241">
        <f t="shared" si="3"/>
        <v>259783.7184</v>
      </c>
      <c r="H16" s="241">
        <f t="shared" si="3"/>
        <v>264979.392768</v>
      </c>
      <c r="I16" s="241">
        <f t="shared" si="3"/>
        <v>270278.98062336</v>
      </c>
      <c r="J16" s="241">
        <f t="shared" si="6"/>
        <v>275684.56023582723</v>
      </c>
      <c r="K16" s="241">
        <f t="shared" si="6"/>
        <v>281198.2514405438</v>
      </c>
      <c r="L16" s="241">
        <f t="shared" si="6"/>
        <v>286822.2164693547</v>
      </c>
    </row>
    <row r="17" spans="1:12" s="229" customFormat="1" ht="15.75">
      <c r="A17" s="20" t="s">
        <v>0</v>
      </c>
      <c r="B17" s="243">
        <f aca="true" t="shared" si="7" ref="B17:L17">SUM(B8:B16)</f>
        <v>1900271.5</v>
      </c>
      <c r="C17" s="243">
        <f t="shared" si="7"/>
        <v>22803258</v>
      </c>
      <c r="D17" s="243">
        <f t="shared" si="7"/>
        <v>23259323.16</v>
      </c>
      <c r="E17" s="243">
        <f t="shared" si="7"/>
        <v>23724509.6232</v>
      </c>
      <c r="F17" s="243">
        <f t="shared" si="7"/>
        <v>24198999.815664005</v>
      </c>
      <c r="G17" s="243">
        <f t="shared" si="7"/>
        <v>24682979.811977282</v>
      </c>
      <c r="H17" s="243">
        <f t="shared" si="7"/>
        <v>25176639.408216827</v>
      </c>
      <c r="I17" s="243">
        <f t="shared" si="7"/>
        <v>25680172.19638116</v>
      </c>
      <c r="J17" s="243">
        <f t="shared" si="7"/>
        <v>26193775.64030879</v>
      </c>
      <c r="K17" s="243">
        <f t="shared" si="7"/>
        <v>26717651.153114963</v>
      </c>
      <c r="L17" s="243">
        <f t="shared" si="7"/>
        <v>27252004.176177263</v>
      </c>
    </row>
    <row r="19" spans="2:8" ht="15.75">
      <c r="B19" s="229"/>
      <c r="C19" s="229"/>
      <c r="D19" s="229"/>
      <c r="E19" s="229"/>
      <c r="F19" s="229"/>
      <c r="G19" s="229"/>
      <c r="H19" s="229"/>
    </row>
    <row r="20" spans="2:8" ht="15.75">
      <c r="B20" s="229"/>
      <c r="C20" s="229"/>
      <c r="D20" s="229"/>
      <c r="E20" s="229"/>
      <c r="F20" s="229"/>
      <c r="G20" s="229"/>
      <c r="H20" s="229"/>
    </row>
    <row r="21" spans="2:8" ht="15.75">
      <c r="B21" s="229"/>
      <c r="C21" s="229"/>
      <c r="D21" s="229"/>
      <c r="E21" s="229"/>
      <c r="F21" s="229"/>
      <c r="G21" s="229"/>
      <c r="H21" s="229"/>
    </row>
    <row r="22" spans="2:8" ht="15.75">
      <c r="B22" s="229"/>
      <c r="C22" s="229"/>
      <c r="D22" s="229"/>
      <c r="E22" s="229"/>
      <c r="F22" s="229"/>
      <c r="G22" s="229"/>
      <c r="H22" s="22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140625" defaultRowHeight="12.75"/>
  <cols>
    <col min="1" max="1" width="40.421875" style="118" customWidth="1"/>
    <col min="2" max="2" width="13.8515625" style="118" customWidth="1"/>
    <col min="3" max="3" width="12.7109375" style="118" customWidth="1"/>
    <col min="4" max="4" width="12.8515625" style="118" customWidth="1"/>
    <col min="5" max="7" width="12.7109375" style="118" customWidth="1"/>
    <col min="8" max="9" width="13.28125" style="118" customWidth="1"/>
    <col min="10" max="10" width="13.140625" style="118" customWidth="1"/>
    <col min="11" max="12" width="13.28125" style="118" customWidth="1"/>
    <col min="13" max="13" width="13.8515625" style="118" customWidth="1"/>
    <col min="14" max="14" width="14.8515625" style="118" bestFit="1" customWidth="1"/>
    <col min="15" max="16" width="14.8515625" style="119" bestFit="1" customWidth="1"/>
    <col min="17" max="17" width="17.140625" style="119" bestFit="1" customWidth="1"/>
    <col min="18" max="18" width="16.140625" style="119" bestFit="1" customWidth="1"/>
    <col min="19" max="23" width="16.140625" style="119" customWidth="1"/>
    <col min="24" max="24" width="16.28125" style="118" bestFit="1" customWidth="1"/>
    <col min="25" max="16384" width="9.140625" style="118" customWidth="1"/>
  </cols>
  <sheetData>
    <row r="1" ht="15.75">
      <c r="A1" s="117"/>
    </row>
    <row r="2" spans="1:16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0"/>
      <c r="O2" s="121"/>
      <c r="P2" s="121"/>
    </row>
    <row r="3" spans="1:16" ht="21" customHeight="1" thickBot="1">
      <c r="A3" s="158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1"/>
      <c r="P3" s="121"/>
    </row>
    <row r="4" spans="1:24" ht="40.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123"/>
      <c r="P4" s="123"/>
      <c r="Q4" s="124"/>
      <c r="R4" s="125"/>
      <c r="S4" s="126"/>
      <c r="T4" s="125"/>
      <c r="U4" s="126"/>
      <c r="V4" s="126"/>
      <c r="W4" s="125"/>
      <c r="X4" s="127"/>
    </row>
    <row r="5" spans="1:24" ht="16.5" customHeight="1" thickBot="1">
      <c r="A5" s="128"/>
      <c r="B5" s="262" t="s">
        <v>92</v>
      </c>
      <c r="C5" s="262"/>
      <c r="D5" s="262"/>
      <c r="E5" s="262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>
        <v>1.02</v>
      </c>
      <c r="Q5" s="129"/>
      <c r="R5" s="129"/>
      <c r="S5" s="131"/>
      <c r="T5" s="131"/>
      <c r="U5" s="131"/>
      <c r="V5" s="131"/>
      <c r="W5" s="131"/>
      <c r="X5" s="132"/>
    </row>
    <row r="6" spans="1:24" ht="32.25" thickBot="1">
      <c r="A6" s="133"/>
      <c r="B6" s="63" t="s">
        <v>246</v>
      </c>
      <c r="C6" s="63" t="s">
        <v>247</v>
      </c>
      <c r="D6" s="63" t="s">
        <v>248</v>
      </c>
      <c r="E6" s="63" t="s">
        <v>249</v>
      </c>
      <c r="F6" s="63" t="s">
        <v>250</v>
      </c>
      <c r="G6" s="63" t="s">
        <v>251</v>
      </c>
      <c r="H6" s="63" t="s">
        <v>252</v>
      </c>
      <c r="I6" s="63" t="s">
        <v>253</v>
      </c>
      <c r="J6" s="63" t="s">
        <v>254</v>
      </c>
      <c r="K6" s="63" t="s">
        <v>255</v>
      </c>
      <c r="L6" s="63" t="s">
        <v>256</v>
      </c>
      <c r="M6" s="63" t="s">
        <v>257</v>
      </c>
      <c r="N6" s="133" t="s">
        <v>64</v>
      </c>
      <c r="O6" s="133" t="s">
        <v>65</v>
      </c>
      <c r="P6" s="133" t="s">
        <v>66</v>
      </c>
      <c r="Q6" s="133" t="s">
        <v>67</v>
      </c>
      <c r="R6" s="133" t="s">
        <v>68</v>
      </c>
      <c r="S6" s="133" t="s">
        <v>121</v>
      </c>
      <c r="T6" s="133" t="s">
        <v>123</v>
      </c>
      <c r="U6" s="133" t="s">
        <v>165</v>
      </c>
      <c r="V6" s="133" t="s">
        <v>166</v>
      </c>
      <c r="W6" s="133" t="s">
        <v>167</v>
      </c>
      <c r="X6" s="134" t="s">
        <v>62</v>
      </c>
    </row>
    <row r="7" spans="1:24" s="138" customFormat="1" ht="33" customHeight="1">
      <c r="A7" s="13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>
        <f>N10-O10</f>
        <v>-2373120</v>
      </c>
      <c r="O7" s="62"/>
      <c r="P7" s="62"/>
      <c r="Q7" s="62"/>
      <c r="R7" s="62"/>
      <c r="S7" s="136"/>
      <c r="T7" s="136"/>
      <c r="U7" s="136"/>
      <c r="V7" s="136"/>
      <c r="W7" s="136"/>
      <c r="X7" s="137"/>
    </row>
    <row r="8" spans="1:96" s="139" customFormat="1" ht="16.5">
      <c r="A8" s="133" t="s">
        <v>98</v>
      </c>
      <c r="B8" s="62">
        <f>'3.Выручка'!B19</f>
        <v>2691000</v>
      </c>
      <c r="C8" s="62">
        <f>'3.Выручка'!C19</f>
        <v>3210000</v>
      </c>
      <c r="D8" s="62">
        <f>'3.Выручка'!D19</f>
        <v>3729000</v>
      </c>
      <c r="E8" s="62">
        <f>'3.Выручка'!E19</f>
        <v>4302000</v>
      </c>
      <c r="F8" s="62">
        <f>'3.Выручка'!F19</f>
        <v>4821000</v>
      </c>
      <c r="G8" s="62">
        <f>'3.Выручка'!G19</f>
        <v>5052000</v>
      </c>
      <c r="H8" s="62">
        <f>'3.Выручка'!H19</f>
        <v>4443000</v>
      </c>
      <c r="I8" s="62">
        <f>'3.Выручка'!I19</f>
        <v>3492000</v>
      </c>
      <c r="J8" s="62">
        <f>'3.Выручка'!J19</f>
        <v>2973000</v>
      </c>
      <c r="K8" s="62">
        <f>'3.Выручка'!K19</f>
        <v>2454000</v>
      </c>
      <c r="L8" s="62">
        <f>'3.Выручка'!L19</f>
        <v>2943000</v>
      </c>
      <c r="M8" s="62">
        <f>'3.Выручка'!M19</f>
        <v>4788000</v>
      </c>
      <c r="N8" s="63">
        <f>SUM(B8:M8)</f>
        <v>44898000</v>
      </c>
      <c r="O8" s="62">
        <f>'3.Выручка'!N35</f>
        <v>64674000</v>
      </c>
      <c r="P8" s="62">
        <f>O8+O8*7%</f>
        <v>69201180</v>
      </c>
      <c r="Q8" s="62">
        <f>P8+P8*7%</f>
        <v>74045262.6</v>
      </c>
      <c r="R8" s="62">
        <f aca="true" t="shared" si="0" ref="R8:W8">Q8+Q8*7%</f>
        <v>79228430.982</v>
      </c>
      <c r="S8" s="62">
        <f t="shared" si="0"/>
        <v>84774421.15074</v>
      </c>
      <c r="T8" s="62">
        <f t="shared" si="0"/>
        <v>90708630.63129179</v>
      </c>
      <c r="U8" s="62">
        <f t="shared" si="0"/>
        <v>97058234.77548222</v>
      </c>
      <c r="V8" s="62">
        <f t="shared" si="0"/>
        <v>103852311.20976599</v>
      </c>
      <c r="W8" s="62">
        <f t="shared" si="0"/>
        <v>111121972.9944496</v>
      </c>
      <c r="X8" s="137">
        <f>SUM(N8:W8)</f>
        <v>819562444.3437297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</row>
    <row r="9" spans="1:96" s="140" customFormat="1" ht="16.5">
      <c r="A9" s="135" t="s">
        <v>104</v>
      </c>
      <c r="B9" s="62">
        <f>B8-B8/1.12</f>
        <v>288321.42857142864</v>
      </c>
      <c r="C9" s="62">
        <f aca="true" t="shared" si="1" ref="C9:W9">C8-C8/1.12</f>
        <v>343928.5714285718</v>
      </c>
      <c r="D9" s="62">
        <f t="shared" si="1"/>
        <v>399535.71428571455</v>
      </c>
      <c r="E9" s="62">
        <f t="shared" si="1"/>
        <v>460928.5714285718</v>
      </c>
      <c r="F9" s="62">
        <f t="shared" si="1"/>
        <v>516535.71428571455</v>
      </c>
      <c r="G9" s="62">
        <f t="shared" si="1"/>
        <v>541285.7142857146</v>
      </c>
      <c r="H9" s="62">
        <f t="shared" si="1"/>
        <v>476035.71428571455</v>
      </c>
      <c r="I9" s="62">
        <f t="shared" si="1"/>
        <v>374142.8571428573</v>
      </c>
      <c r="J9" s="62">
        <f t="shared" si="1"/>
        <v>318535.71428571455</v>
      </c>
      <c r="K9" s="62">
        <f t="shared" si="1"/>
        <v>262928.5714285718</v>
      </c>
      <c r="L9" s="62">
        <f t="shared" si="1"/>
        <v>315321.42857142864</v>
      </c>
      <c r="M9" s="62">
        <f t="shared" si="1"/>
        <v>513000</v>
      </c>
      <c r="N9" s="63">
        <f t="shared" si="1"/>
        <v>4810500.000000007</v>
      </c>
      <c r="O9" s="62">
        <f t="shared" si="1"/>
        <v>6929357.142857149</v>
      </c>
      <c r="P9" s="62">
        <f t="shared" si="1"/>
        <v>7414412.142857149</v>
      </c>
      <c r="Q9" s="62">
        <f t="shared" si="1"/>
        <v>7933420.992857151</v>
      </c>
      <c r="R9" s="62">
        <f t="shared" si="1"/>
        <v>8488760.462357149</v>
      </c>
      <c r="S9" s="62">
        <f t="shared" si="1"/>
        <v>9082973.694722146</v>
      </c>
      <c r="T9" s="62">
        <f t="shared" si="1"/>
        <v>9718781.853352696</v>
      </c>
      <c r="U9" s="62">
        <f t="shared" si="1"/>
        <v>10399096.583087385</v>
      </c>
      <c r="V9" s="62">
        <f t="shared" si="1"/>
        <v>11127033.343903512</v>
      </c>
      <c r="W9" s="62">
        <f t="shared" si="1"/>
        <v>11905925.677976757</v>
      </c>
      <c r="X9" s="137">
        <f aca="true" t="shared" si="2" ref="X9:X33">SUM(N9:W9)</f>
        <v>87810261.8939711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</row>
    <row r="10" spans="1:96" s="141" customFormat="1" ht="16.5">
      <c r="A10" s="135" t="s">
        <v>137</v>
      </c>
      <c r="B10" s="62">
        <f>'3.Выручка'!B38</f>
        <v>322920</v>
      </c>
      <c r="C10" s="62">
        <f>'3.Выручка'!C38</f>
        <v>385200</v>
      </c>
      <c r="D10" s="62">
        <f>'3.Выручка'!D38</f>
        <v>447480</v>
      </c>
      <c r="E10" s="62">
        <f>'3.Выручка'!E38</f>
        <v>516240</v>
      </c>
      <c r="F10" s="62">
        <f>'3.Выручка'!F38</f>
        <v>578520</v>
      </c>
      <c r="G10" s="62">
        <f>'3.Выручка'!G38</f>
        <v>606240</v>
      </c>
      <c r="H10" s="62">
        <f>'3.Выручка'!H38</f>
        <v>533160</v>
      </c>
      <c r="I10" s="62">
        <f>'3.Выручка'!I38</f>
        <v>419040</v>
      </c>
      <c r="J10" s="62">
        <f>'3.Выручка'!J38</f>
        <v>356760</v>
      </c>
      <c r="K10" s="62">
        <f>'3.Выручка'!K38</f>
        <v>294480</v>
      </c>
      <c r="L10" s="62">
        <f>'3.Выручка'!L38</f>
        <v>353160</v>
      </c>
      <c r="M10" s="62">
        <f>'3.Выручка'!M38</f>
        <v>574560</v>
      </c>
      <c r="N10" s="63">
        <f>SUM(B10:M10)</f>
        <v>5387760</v>
      </c>
      <c r="O10" s="62">
        <f>'3.Выручка'!N39</f>
        <v>7760880</v>
      </c>
      <c r="P10" s="62">
        <f>O10</f>
        <v>7760880</v>
      </c>
      <c r="Q10" s="62">
        <f aca="true" t="shared" si="3" ref="Q10:W10">P10</f>
        <v>7760880</v>
      </c>
      <c r="R10" s="62">
        <f t="shared" si="3"/>
        <v>7760880</v>
      </c>
      <c r="S10" s="62">
        <f t="shared" si="3"/>
        <v>7760880</v>
      </c>
      <c r="T10" s="62">
        <f t="shared" si="3"/>
        <v>7760880</v>
      </c>
      <c r="U10" s="62">
        <f t="shared" si="3"/>
        <v>7760880</v>
      </c>
      <c r="V10" s="62">
        <f t="shared" si="3"/>
        <v>7760880</v>
      </c>
      <c r="W10" s="62">
        <f t="shared" si="3"/>
        <v>7760880</v>
      </c>
      <c r="X10" s="137">
        <f t="shared" si="2"/>
        <v>75235680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</row>
    <row r="11" spans="1:96" s="140" customFormat="1" ht="16.5">
      <c r="A11" s="135" t="s">
        <v>99</v>
      </c>
      <c r="B11" s="62">
        <f>B9-B10</f>
        <v>-34598.57142857136</v>
      </c>
      <c r="C11" s="62">
        <f aca="true" t="shared" si="4" ref="C11:M11">C9-C10</f>
        <v>-41271.42857142817</v>
      </c>
      <c r="D11" s="62">
        <f t="shared" si="4"/>
        <v>-47944.28571428545</v>
      </c>
      <c r="E11" s="62">
        <f t="shared" si="4"/>
        <v>-55311.42857142817</v>
      </c>
      <c r="F11" s="62">
        <f t="shared" si="4"/>
        <v>-61984.28571428545</v>
      </c>
      <c r="G11" s="62">
        <f t="shared" si="4"/>
        <v>-64954.28571428545</v>
      </c>
      <c r="H11" s="62">
        <f t="shared" si="4"/>
        <v>-57124.28571428545</v>
      </c>
      <c r="I11" s="62">
        <f t="shared" si="4"/>
        <v>-44897.142857142724</v>
      </c>
      <c r="J11" s="62">
        <f t="shared" si="4"/>
        <v>-38224.28571428545</v>
      </c>
      <c r="K11" s="62">
        <f t="shared" si="4"/>
        <v>-31551.428571428172</v>
      </c>
      <c r="L11" s="62">
        <f t="shared" si="4"/>
        <v>-37838.57142857136</v>
      </c>
      <c r="M11" s="62">
        <f t="shared" si="4"/>
        <v>-61560</v>
      </c>
      <c r="N11" s="63">
        <f>SUM(B11:M11)</f>
        <v>-577259.9999999972</v>
      </c>
      <c r="O11" s="62">
        <f>O9-O10</f>
        <v>-831522.8571428508</v>
      </c>
      <c r="P11" s="62">
        <f aca="true" t="shared" si="5" ref="P11:W11">P9-P10</f>
        <v>-346467.85714285076</v>
      </c>
      <c r="Q11" s="62">
        <f t="shared" si="5"/>
        <v>172540.99285715073</v>
      </c>
      <c r="R11" s="62">
        <f t="shared" si="5"/>
        <v>727880.4623571485</v>
      </c>
      <c r="S11" s="62">
        <f t="shared" si="5"/>
        <v>1322093.6947221458</v>
      </c>
      <c r="T11" s="62">
        <f t="shared" si="5"/>
        <v>1957901.8533526957</v>
      </c>
      <c r="U11" s="62">
        <f t="shared" si="5"/>
        <v>2638216.5830873847</v>
      </c>
      <c r="V11" s="62">
        <f t="shared" si="5"/>
        <v>3366153.3439035118</v>
      </c>
      <c r="W11" s="62">
        <f t="shared" si="5"/>
        <v>4145045.6779767573</v>
      </c>
      <c r="X11" s="137">
        <f t="shared" si="2"/>
        <v>12574581.893971097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</row>
    <row r="12" spans="1:96" s="140" customFormat="1" ht="16.5" hidden="1">
      <c r="A12" s="135" t="s">
        <v>173</v>
      </c>
      <c r="B12" s="62">
        <f>'1.График (гориз)'!E8*'1.График (гориз)'!H6/12</f>
        <v>0</v>
      </c>
      <c r="C12" s="62">
        <f>B12</f>
        <v>0</v>
      </c>
      <c r="D12" s="62">
        <f aca="true" t="shared" si="6" ref="D12:M12">C12</f>
        <v>0</v>
      </c>
      <c r="E12" s="62">
        <f t="shared" si="6"/>
        <v>0</v>
      </c>
      <c r="F12" s="62">
        <f t="shared" si="6"/>
        <v>0</v>
      </c>
      <c r="G12" s="62">
        <f t="shared" si="6"/>
        <v>0</v>
      </c>
      <c r="H12" s="62">
        <f t="shared" si="6"/>
        <v>0</v>
      </c>
      <c r="I12" s="62">
        <f t="shared" si="6"/>
        <v>0</v>
      </c>
      <c r="J12" s="62">
        <f t="shared" si="6"/>
        <v>0</v>
      </c>
      <c r="K12" s="62">
        <f t="shared" si="6"/>
        <v>0</v>
      </c>
      <c r="L12" s="62">
        <f t="shared" si="6"/>
        <v>0</v>
      </c>
      <c r="M12" s="62">
        <f t="shared" si="6"/>
        <v>0</v>
      </c>
      <c r="N12" s="63">
        <f>SUM(B12:M12)</f>
        <v>0</v>
      </c>
      <c r="O12" s="62">
        <f>'1.График (гориз)'!E8*'1.График (гориз)'!H6</f>
        <v>0</v>
      </c>
      <c r="P12" s="62">
        <f>O12</f>
        <v>0</v>
      </c>
      <c r="Q12" s="62">
        <f aca="true" t="shared" si="7" ref="Q12:W12">P12</f>
        <v>0</v>
      </c>
      <c r="R12" s="62">
        <f t="shared" si="7"/>
        <v>0</v>
      </c>
      <c r="S12" s="62">
        <f t="shared" si="7"/>
        <v>0</v>
      </c>
      <c r="T12" s="62">
        <f t="shared" si="7"/>
        <v>0</v>
      </c>
      <c r="U12" s="62">
        <f t="shared" si="7"/>
        <v>0</v>
      </c>
      <c r="V12" s="62">
        <f t="shared" si="7"/>
        <v>0</v>
      </c>
      <c r="W12" s="62">
        <f t="shared" si="7"/>
        <v>0</v>
      </c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</row>
    <row r="13" spans="1:96" s="140" customFormat="1" ht="16.5">
      <c r="A13" s="142" t="s">
        <v>93</v>
      </c>
      <c r="B13" s="143">
        <f>B8-B9+B12</f>
        <v>2402678.5714285714</v>
      </c>
      <c r="C13" s="143">
        <f aca="true" t="shared" si="8" ref="C13:W13">C8-C9+C12</f>
        <v>2866071.428571428</v>
      </c>
      <c r="D13" s="143">
        <f t="shared" si="8"/>
        <v>3329464.2857142854</v>
      </c>
      <c r="E13" s="143">
        <f t="shared" si="8"/>
        <v>3841071.428571428</v>
      </c>
      <c r="F13" s="143">
        <f t="shared" si="8"/>
        <v>4304464.285714285</v>
      </c>
      <c r="G13" s="143">
        <f t="shared" si="8"/>
        <v>4510714.285714285</v>
      </c>
      <c r="H13" s="143">
        <f t="shared" si="8"/>
        <v>3966964.2857142854</v>
      </c>
      <c r="I13" s="143">
        <f t="shared" si="8"/>
        <v>3117857.1428571427</v>
      </c>
      <c r="J13" s="143">
        <f t="shared" si="8"/>
        <v>2654464.2857142854</v>
      </c>
      <c r="K13" s="143">
        <f t="shared" si="8"/>
        <v>2191071.428571428</v>
      </c>
      <c r="L13" s="143">
        <f t="shared" si="8"/>
        <v>2627678.5714285714</v>
      </c>
      <c r="M13" s="143">
        <f t="shared" si="8"/>
        <v>4275000</v>
      </c>
      <c r="N13" s="60">
        <f t="shared" si="8"/>
        <v>40087499.99999999</v>
      </c>
      <c r="O13" s="143">
        <f t="shared" si="8"/>
        <v>57744642.85714285</v>
      </c>
      <c r="P13" s="143">
        <f t="shared" si="8"/>
        <v>61786767.85714285</v>
      </c>
      <c r="Q13" s="143">
        <f t="shared" si="8"/>
        <v>66111841.60714284</v>
      </c>
      <c r="R13" s="143">
        <f t="shared" si="8"/>
        <v>70739670.51964284</v>
      </c>
      <c r="S13" s="143">
        <f t="shared" si="8"/>
        <v>75691447.45601785</v>
      </c>
      <c r="T13" s="143">
        <f t="shared" si="8"/>
        <v>80989848.7779391</v>
      </c>
      <c r="U13" s="143">
        <f t="shared" si="8"/>
        <v>86659138.19239484</v>
      </c>
      <c r="V13" s="143">
        <f t="shared" si="8"/>
        <v>92725277.86586247</v>
      </c>
      <c r="W13" s="143">
        <f t="shared" si="8"/>
        <v>99216047.31647284</v>
      </c>
      <c r="X13" s="203">
        <f t="shared" si="2"/>
        <v>731752182.4497585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</row>
    <row r="14" spans="1:96" s="147" customFormat="1" ht="16.5" hidden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44"/>
      <c r="O14" s="145"/>
      <c r="P14" s="145"/>
      <c r="Q14" s="145"/>
      <c r="R14" s="145"/>
      <c r="S14" s="146"/>
      <c r="T14" s="146"/>
      <c r="U14" s="146"/>
      <c r="V14" s="146"/>
      <c r="W14" s="146"/>
      <c r="X14" s="203">
        <f t="shared" si="2"/>
        <v>0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</row>
    <row r="15" spans="1:96" s="140" customFormat="1" ht="16.5">
      <c r="A15" s="135" t="s">
        <v>100</v>
      </c>
      <c r="B15" s="62">
        <f>'4.Себестоимость'!B10</f>
        <v>1058850</v>
      </c>
      <c r="C15" s="62">
        <f>'4.Себестоимость'!C10</f>
        <v>1313100.0000000002</v>
      </c>
      <c r="D15" s="62">
        <f>'4.Себестоимость'!D10</f>
        <v>1567350</v>
      </c>
      <c r="E15" s="62">
        <f>'4.Себестоимость'!E10</f>
        <v>1823220</v>
      </c>
      <c r="F15" s="62">
        <f>'4.Себестоимость'!F10</f>
        <v>2077470.0000000002</v>
      </c>
      <c r="G15" s="62">
        <f>'4.Себестоимость'!G10</f>
        <v>2235720</v>
      </c>
      <c r="H15" s="62">
        <f>'4.Себестоимость'!H10</f>
        <v>1935090.0000000002</v>
      </c>
      <c r="I15" s="62">
        <f>'4.Себестоимость'!I10</f>
        <v>1536840</v>
      </c>
      <c r="J15" s="62">
        <f>'4.Себестоимость'!J10</f>
        <v>1282590</v>
      </c>
      <c r="K15" s="62">
        <f>'4.Себестоимость'!K10</f>
        <v>1028340.0000000001</v>
      </c>
      <c r="L15" s="62">
        <f>'4.Себестоимость'!L10</f>
        <v>1110090</v>
      </c>
      <c r="M15" s="62">
        <f>'4.Себестоимость'!M10</f>
        <v>1968840</v>
      </c>
      <c r="N15" s="63">
        <f>SUM(B15:M15)</f>
        <v>18937500</v>
      </c>
      <c r="O15" s="62">
        <f>'4.Себестоимость'!N17</f>
        <v>28301100</v>
      </c>
      <c r="P15" s="62">
        <f>O15+O15*7%</f>
        <v>30282177</v>
      </c>
      <c r="Q15" s="62">
        <f aca="true" t="shared" si="9" ref="Q15:W15">P15+P15*7%</f>
        <v>32401929.39</v>
      </c>
      <c r="R15" s="62">
        <f t="shared" si="9"/>
        <v>34670064.4473</v>
      </c>
      <c r="S15" s="62">
        <f t="shared" si="9"/>
        <v>37096968.958611004</v>
      </c>
      <c r="T15" s="62">
        <f t="shared" si="9"/>
        <v>39693756.78571378</v>
      </c>
      <c r="U15" s="62">
        <f t="shared" si="9"/>
        <v>42472319.76071374</v>
      </c>
      <c r="V15" s="62">
        <f t="shared" si="9"/>
        <v>45445382.1439637</v>
      </c>
      <c r="W15" s="62">
        <f t="shared" si="9"/>
        <v>48626558.89404116</v>
      </c>
      <c r="X15" s="203">
        <f t="shared" si="2"/>
        <v>357927757.38034344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</row>
    <row r="16" spans="1:96" s="140" customFormat="1" ht="16.5">
      <c r="A16" s="148" t="s">
        <v>94</v>
      </c>
      <c r="B16" s="64">
        <f>B8-B15</f>
        <v>1632150</v>
      </c>
      <c r="C16" s="64">
        <f aca="true" t="shared" si="10" ref="C16:M16">C8-C15</f>
        <v>1896899.9999999998</v>
      </c>
      <c r="D16" s="64">
        <f t="shared" si="10"/>
        <v>2161650</v>
      </c>
      <c r="E16" s="64">
        <f t="shared" si="10"/>
        <v>2478780</v>
      </c>
      <c r="F16" s="64">
        <f t="shared" si="10"/>
        <v>2743530</v>
      </c>
      <c r="G16" s="64">
        <f t="shared" si="10"/>
        <v>2816280</v>
      </c>
      <c r="H16" s="64">
        <f t="shared" si="10"/>
        <v>2507910</v>
      </c>
      <c r="I16" s="64">
        <f t="shared" si="10"/>
        <v>1955160</v>
      </c>
      <c r="J16" s="64">
        <f>J8-J15</f>
        <v>1690410</v>
      </c>
      <c r="K16" s="64">
        <f>K8-K15</f>
        <v>1425660</v>
      </c>
      <c r="L16" s="64">
        <f t="shared" si="10"/>
        <v>1832910</v>
      </c>
      <c r="M16" s="64">
        <f t="shared" si="10"/>
        <v>2819160</v>
      </c>
      <c r="N16" s="64">
        <f>SUM(B16:M16)</f>
        <v>25960500</v>
      </c>
      <c r="O16" s="64">
        <f aca="true" t="shared" si="11" ref="O16:W16">O8-O15</f>
        <v>36372900</v>
      </c>
      <c r="P16" s="64">
        <f t="shared" si="11"/>
        <v>38919003</v>
      </c>
      <c r="Q16" s="64">
        <f t="shared" si="11"/>
        <v>41643333.20999999</v>
      </c>
      <c r="R16" s="64">
        <f t="shared" si="11"/>
        <v>44558366.53469999</v>
      </c>
      <c r="S16" s="64">
        <f t="shared" si="11"/>
        <v>47677452.19212899</v>
      </c>
      <c r="T16" s="64">
        <f t="shared" si="11"/>
        <v>51014873.845578015</v>
      </c>
      <c r="U16" s="64">
        <f t="shared" si="11"/>
        <v>54585915.01476848</v>
      </c>
      <c r="V16" s="64">
        <f t="shared" si="11"/>
        <v>58406929.06580228</v>
      </c>
      <c r="W16" s="64">
        <f t="shared" si="11"/>
        <v>62495414.10040844</v>
      </c>
      <c r="X16" s="203">
        <f t="shared" si="2"/>
        <v>461634686.9633861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</row>
    <row r="17" spans="1:96" s="140" customFormat="1" ht="16.5">
      <c r="A17" s="149" t="s">
        <v>95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60"/>
      <c r="O17" s="143"/>
      <c r="P17" s="143"/>
      <c r="Q17" s="143"/>
      <c r="R17" s="143"/>
      <c r="S17" s="143"/>
      <c r="T17" s="143"/>
      <c r="U17" s="143"/>
      <c r="V17" s="143"/>
      <c r="W17" s="143"/>
      <c r="X17" s="203">
        <f t="shared" si="2"/>
        <v>0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</row>
    <row r="18" spans="1:96" s="140" customFormat="1" ht="16.5">
      <c r="A18" s="135" t="s">
        <v>275</v>
      </c>
      <c r="B18" s="62">
        <f>'5.Затраты'!B8</f>
        <v>790000</v>
      </c>
      <c r="C18" s="62">
        <f>B18</f>
        <v>790000</v>
      </c>
      <c r="D18" s="62">
        <f aca="true" t="shared" si="12" ref="D18:M18">C18</f>
        <v>790000</v>
      </c>
      <c r="E18" s="62">
        <f t="shared" si="12"/>
        <v>790000</v>
      </c>
      <c r="F18" s="62">
        <f t="shared" si="12"/>
        <v>790000</v>
      </c>
      <c r="G18" s="62">
        <f t="shared" si="12"/>
        <v>790000</v>
      </c>
      <c r="H18" s="62">
        <f t="shared" si="12"/>
        <v>790000</v>
      </c>
      <c r="I18" s="62">
        <f t="shared" si="12"/>
        <v>790000</v>
      </c>
      <c r="J18" s="62">
        <f t="shared" si="12"/>
        <v>790000</v>
      </c>
      <c r="K18" s="62">
        <f t="shared" si="12"/>
        <v>790000</v>
      </c>
      <c r="L18" s="62">
        <f t="shared" si="12"/>
        <v>790000</v>
      </c>
      <c r="M18" s="62">
        <f t="shared" si="12"/>
        <v>790000</v>
      </c>
      <c r="N18" s="63">
        <f aca="true" t="shared" si="13" ref="N18:N25">SUM(B18:M18)</f>
        <v>9480000</v>
      </c>
      <c r="O18" s="62">
        <f>'5.Затраты'!D8</f>
        <v>9669600</v>
      </c>
      <c r="P18" s="62">
        <f>'5.Затраты'!E8</f>
        <v>9862992</v>
      </c>
      <c r="Q18" s="62">
        <f>'5.Затраты'!F8</f>
        <v>10060251.84</v>
      </c>
      <c r="R18" s="62">
        <f>'5.Затраты'!G8</f>
        <v>10261456.8768</v>
      </c>
      <c r="S18" s="62">
        <f>'5.Затраты'!H8</f>
        <v>10466686.014336001</v>
      </c>
      <c r="T18" s="62">
        <f>'5.Затраты'!I8</f>
        <v>10676019.73462272</v>
      </c>
      <c r="U18" s="62">
        <f>'5.Затраты'!J8</f>
        <v>10889540.129315175</v>
      </c>
      <c r="V18" s="62">
        <f>'5.Затраты'!K8</f>
        <v>11107330.93190148</v>
      </c>
      <c r="W18" s="62">
        <f>'5.Затраты'!L8</f>
        <v>11329477.550539508</v>
      </c>
      <c r="X18" s="203">
        <f t="shared" si="2"/>
        <v>103803355.0775149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</row>
    <row r="19" spans="1:96" s="140" customFormat="1" ht="16.5">
      <c r="A19" s="145" t="s">
        <v>105</v>
      </c>
      <c r="B19" s="62">
        <f>(B18*0.19)*0.2+B18*0.19*0.015</f>
        <v>32271.5</v>
      </c>
      <c r="C19" s="62">
        <f aca="true" t="shared" si="14" ref="C19:M19">(C18*0.19)*0.2+C18*0.19*0.015</f>
        <v>32271.5</v>
      </c>
      <c r="D19" s="62">
        <f t="shared" si="14"/>
        <v>32271.5</v>
      </c>
      <c r="E19" s="62">
        <f t="shared" si="14"/>
        <v>32271.5</v>
      </c>
      <c r="F19" s="62">
        <f t="shared" si="14"/>
        <v>32271.5</v>
      </c>
      <c r="G19" s="62">
        <f t="shared" si="14"/>
        <v>32271.5</v>
      </c>
      <c r="H19" s="62">
        <f t="shared" si="14"/>
        <v>32271.5</v>
      </c>
      <c r="I19" s="62">
        <f t="shared" si="14"/>
        <v>32271.5</v>
      </c>
      <c r="J19" s="62">
        <f t="shared" si="14"/>
        <v>32271.5</v>
      </c>
      <c r="K19" s="62">
        <f t="shared" si="14"/>
        <v>32271.5</v>
      </c>
      <c r="L19" s="62">
        <f t="shared" si="14"/>
        <v>32271.5</v>
      </c>
      <c r="M19" s="62">
        <f t="shared" si="14"/>
        <v>32271.5</v>
      </c>
      <c r="N19" s="63">
        <f t="shared" si="13"/>
        <v>387258</v>
      </c>
      <c r="O19" s="62">
        <f>'5.Затраты'!D9</f>
        <v>395003.16000000003</v>
      </c>
      <c r="P19" s="62">
        <f>'5.Затраты'!E9</f>
        <v>402903.22320000007</v>
      </c>
      <c r="Q19" s="62">
        <f>'5.Затраты'!F9</f>
        <v>410961.28766400006</v>
      </c>
      <c r="R19" s="62">
        <f>'5.Затраты'!G9</f>
        <v>419180.51341728005</v>
      </c>
      <c r="S19" s="62">
        <f>'5.Затраты'!H9</f>
        <v>427564.1236856257</v>
      </c>
      <c r="T19" s="62">
        <f>'5.Затраты'!I9</f>
        <v>436115.4061593382</v>
      </c>
      <c r="U19" s="62">
        <f>'5.Затраты'!J9</f>
        <v>444837.71428252495</v>
      </c>
      <c r="V19" s="62">
        <f>'5.Затраты'!K9</f>
        <v>453734.46856817545</v>
      </c>
      <c r="W19" s="62">
        <f>'5.Затраты'!L9</f>
        <v>462809.15793953894</v>
      </c>
      <c r="X19" s="203">
        <f t="shared" si="2"/>
        <v>4240367.054916483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</row>
    <row r="20" spans="1:96" s="140" customFormat="1" ht="16.5">
      <c r="A20" s="145" t="s">
        <v>280</v>
      </c>
      <c r="B20" s="62">
        <f>'5.Затраты'!B10</f>
        <v>750000</v>
      </c>
      <c r="C20" s="62">
        <v>750000</v>
      </c>
      <c r="D20" s="62">
        <v>750000</v>
      </c>
      <c r="E20" s="62">
        <v>750000</v>
      </c>
      <c r="F20" s="62">
        <v>750000</v>
      </c>
      <c r="G20" s="62">
        <v>750000</v>
      </c>
      <c r="H20" s="62">
        <v>750000</v>
      </c>
      <c r="I20" s="62">
        <v>750000</v>
      </c>
      <c r="J20" s="62">
        <v>750000</v>
      </c>
      <c r="K20" s="62">
        <v>750000</v>
      </c>
      <c r="L20" s="62">
        <v>750000</v>
      </c>
      <c r="M20" s="62">
        <v>750000</v>
      </c>
      <c r="N20" s="63">
        <f t="shared" si="13"/>
        <v>9000000</v>
      </c>
      <c r="O20" s="62">
        <f aca="true" t="shared" si="15" ref="O20:W20">N20*1.02</f>
        <v>9180000</v>
      </c>
      <c r="P20" s="62">
        <f t="shared" si="15"/>
        <v>9363600</v>
      </c>
      <c r="Q20" s="62">
        <f t="shared" si="15"/>
        <v>9550872</v>
      </c>
      <c r="R20" s="62">
        <f t="shared" si="15"/>
        <v>9741889.44</v>
      </c>
      <c r="S20" s="62">
        <f t="shared" si="15"/>
        <v>9936727.228799999</v>
      </c>
      <c r="T20" s="62">
        <f t="shared" si="15"/>
        <v>10135461.773376</v>
      </c>
      <c r="U20" s="62">
        <f t="shared" si="15"/>
        <v>10338171.008843519</v>
      </c>
      <c r="V20" s="62">
        <f t="shared" si="15"/>
        <v>10544934.42902039</v>
      </c>
      <c r="W20" s="62">
        <f t="shared" si="15"/>
        <v>10755833.117600799</v>
      </c>
      <c r="X20" s="203">
        <f t="shared" si="2"/>
        <v>98547488.99764071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</row>
    <row r="21" spans="1:96" s="140" customFormat="1" ht="16.5">
      <c r="A21" s="145" t="s">
        <v>200</v>
      </c>
      <c r="B21" s="62">
        <f>'5.Затраты'!B11</f>
        <v>95000</v>
      </c>
      <c r="C21" s="62">
        <f>B21</f>
        <v>95000</v>
      </c>
      <c r="D21" s="62">
        <f aca="true" t="shared" si="16" ref="D21:M21">C21</f>
        <v>95000</v>
      </c>
      <c r="E21" s="62">
        <f t="shared" si="16"/>
        <v>95000</v>
      </c>
      <c r="F21" s="62">
        <f t="shared" si="16"/>
        <v>95000</v>
      </c>
      <c r="G21" s="62">
        <f t="shared" si="16"/>
        <v>95000</v>
      </c>
      <c r="H21" s="62">
        <f t="shared" si="16"/>
        <v>95000</v>
      </c>
      <c r="I21" s="62">
        <f t="shared" si="16"/>
        <v>95000</v>
      </c>
      <c r="J21" s="62">
        <f t="shared" si="16"/>
        <v>95000</v>
      </c>
      <c r="K21" s="62">
        <f t="shared" si="16"/>
        <v>95000</v>
      </c>
      <c r="L21" s="62">
        <f t="shared" si="16"/>
        <v>95000</v>
      </c>
      <c r="M21" s="62">
        <f t="shared" si="16"/>
        <v>95000</v>
      </c>
      <c r="N21" s="63">
        <f t="shared" si="13"/>
        <v>1140000</v>
      </c>
      <c r="O21" s="62">
        <f>'5.Затраты'!D11</f>
        <v>1162800</v>
      </c>
      <c r="P21" s="62">
        <f>'5.Затраты'!E11</f>
        <v>1186056</v>
      </c>
      <c r="Q21" s="62">
        <f>'5.Затраты'!F11</f>
        <v>1209777.12</v>
      </c>
      <c r="R21" s="62">
        <f>'5.Затраты'!G11</f>
        <v>1233972.6624</v>
      </c>
      <c r="S21" s="62">
        <f>'5.Затраты'!H11</f>
        <v>1258652.115648</v>
      </c>
      <c r="T21" s="62">
        <f>'5.Затраты'!I11</f>
        <v>1283825.15796096</v>
      </c>
      <c r="U21" s="62">
        <f>'5.Затраты'!J11</f>
        <v>1309501.661120179</v>
      </c>
      <c r="V21" s="62">
        <f>'5.Затраты'!K11</f>
        <v>1335691.6943425827</v>
      </c>
      <c r="W21" s="62">
        <f>'5.Затраты'!L11</f>
        <v>1362405.5282294345</v>
      </c>
      <c r="X21" s="203">
        <f>SUM(N21:W21)</f>
        <v>12482681.939701159</v>
      </c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</row>
    <row r="22" spans="1:96" s="140" customFormat="1" ht="16.5">
      <c r="A22" s="82" t="s">
        <v>90</v>
      </c>
      <c r="B22" s="62">
        <f>'5.Затраты'!$B$12</f>
        <v>15000</v>
      </c>
      <c r="C22" s="62">
        <f>'5.Затраты'!$B$12</f>
        <v>15000</v>
      </c>
      <c r="D22" s="62">
        <f>'5.Затраты'!$B$12</f>
        <v>15000</v>
      </c>
      <c r="E22" s="62">
        <f>'5.Затраты'!$B$12</f>
        <v>15000</v>
      </c>
      <c r="F22" s="62">
        <f>'5.Затраты'!$B$12</f>
        <v>15000</v>
      </c>
      <c r="G22" s="62">
        <f>'5.Затраты'!$B$12</f>
        <v>15000</v>
      </c>
      <c r="H22" s="62">
        <f>'5.Затраты'!$B$12</f>
        <v>15000</v>
      </c>
      <c r="I22" s="62">
        <f>'5.Затраты'!$B$12</f>
        <v>15000</v>
      </c>
      <c r="J22" s="62">
        <f>'5.Затраты'!$B$12</f>
        <v>15000</v>
      </c>
      <c r="K22" s="62">
        <f>'5.Затраты'!$B$12</f>
        <v>15000</v>
      </c>
      <c r="L22" s="62">
        <f>'5.Затраты'!$B$12</f>
        <v>15000</v>
      </c>
      <c r="M22" s="62">
        <f>'5.Затраты'!$B$12</f>
        <v>15000</v>
      </c>
      <c r="N22" s="63">
        <f t="shared" si="13"/>
        <v>180000</v>
      </c>
      <c r="O22" s="62">
        <f>'5.Затраты'!D12</f>
        <v>183600</v>
      </c>
      <c r="P22" s="62">
        <f>'5.Затраты'!E12</f>
        <v>187272</v>
      </c>
      <c r="Q22" s="62">
        <f>'5.Затраты'!F12</f>
        <v>191017.44</v>
      </c>
      <c r="R22" s="62">
        <f>'5.Затраты'!G12</f>
        <v>194837.7888</v>
      </c>
      <c r="S22" s="62">
        <f>'5.Затраты'!H12</f>
        <v>198734.54457600001</v>
      </c>
      <c r="T22" s="62">
        <f>'5.Затраты'!I12</f>
        <v>202709.23546752002</v>
      </c>
      <c r="U22" s="62">
        <f>'5.Затраты'!J12</f>
        <v>206763.42017687042</v>
      </c>
      <c r="V22" s="62">
        <f>'5.Затраты'!K12</f>
        <v>210898.68858040785</v>
      </c>
      <c r="W22" s="62">
        <f>'5.Затраты'!L12</f>
        <v>215116.66235201602</v>
      </c>
      <c r="X22" s="203">
        <f t="shared" si="2"/>
        <v>1970949.779952814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</row>
    <row r="23" spans="1:96" s="140" customFormat="1" ht="16.5">
      <c r="A23" s="150" t="s">
        <v>91</v>
      </c>
      <c r="B23" s="62">
        <f>'5.Затраты'!B13</f>
        <v>18000</v>
      </c>
      <c r="C23" s="62">
        <f>B23</f>
        <v>18000</v>
      </c>
      <c r="D23" s="62">
        <f aca="true" t="shared" si="17" ref="D23:M23">C23</f>
        <v>18000</v>
      </c>
      <c r="E23" s="62">
        <f t="shared" si="17"/>
        <v>18000</v>
      </c>
      <c r="F23" s="62">
        <f t="shared" si="17"/>
        <v>18000</v>
      </c>
      <c r="G23" s="62">
        <f t="shared" si="17"/>
        <v>18000</v>
      </c>
      <c r="H23" s="62">
        <f t="shared" si="17"/>
        <v>18000</v>
      </c>
      <c r="I23" s="62">
        <f t="shared" si="17"/>
        <v>18000</v>
      </c>
      <c r="J23" s="62">
        <f t="shared" si="17"/>
        <v>18000</v>
      </c>
      <c r="K23" s="62">
        <f t="shared" si="17"/>
        <v>18000</v>
      </c>
      <c r="L23" s="62">
        <f t="shared" si="17"/>
        <v>18000</v>
      </c>
      <c r="M23" s="62">
        <f t="shared" si="17"/>
        <v>18000</v>
      </c>
      <c r="N23" s="63">
        <f t="shared" si="13"/>
        <v>216000</v>
      </c>
      <c r="O23" s="62">
        <f>'5.Затраты'!D13</f>
        <v>220320</v>
      </c>
      <c r="P23" s="62">
        <f>'5.Затраты'!E13</f>
        <v>224726.4</v>
      </c>
      <c r="Q23" s="62">
        <f>'5.Затраты'!F13</f>
        <v>229220.92799999999</v>
      </c>
      <c r="R23" s="62">
        <f>'5.Затраты'!G13</f>
        <v>233805.34655999998</v>
      </c>
      <c r="S23" s="62">
        <f>'5.Затраты'!H13</f>
        <v>238481.4534912</v>
      </c>
      <c r="T23" s="62">
        <f>'5.Затраты'!I13</f>
        <v>243251.082561024</v>
      </c>
      <c r="U23" s="62">
        <f>'5.Затраты'!J13</f>
        <v>248116.10421224448</v>
      </c>
      <c r="V23" s="62">
        <f>'5.Затраты'!K13</f>
        <v>253078.42629648937</v>
      </c>
      <c r="W23" s="62">
        <f>'5.Затраты'!L13</f>
        <v>258139.99482241916</v>
      </c>
      <c r="X23" s="203">
        <f t="shared" si="2"/>
        <v>2365139.735943377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</row>
    <row r="24" spans="1:96" s="140" customFormat="1" ht="16.5">
      <c r="A24" s="82" t="s">
        <v>88</v>
      </c>
      <c r="B24" s="62">
        <f>'5.Затраты'!$C$15/12</f>
        <v>100000</v>
      </c>
      <c r="C24" s="62">
        <f>'5.Затраты'!$C$15/12</f>
        <v>100000</v>
      </c>
      <c r="D24" s="62">
        <f>'5.Затраты'!$C$15/12</f>
        <v>100000</v>
      </c>
      <c r="E24" s="62">
        <f>'5.Затраты'!$C$15/12</f>
        <v>100000</v>
      </c>
      <c r="F24" s="62">
        <f>'5.Затраты'!$C$15/12</f>
        <v>100000</v>
      </c>
      <c r="G24" s="62">
        <f>'5.Затраты'!$C$15/12</f>
        <v>100000</v>
      </c>
      <c r="H24" s="62">
        <f>'5.Затраты'!$C$15/12</f>
        <v>100000</v>
      </c>
      <c r="I24" s="62">
        <f>'5.Затраты'!$C$15/12</f>
        <v>100000</v>
      </c>
      <c r="J24" s="62">
        <f>'5.Затраты'!$C$15/12</f>
        <v>100000</v>
      </c>
      <c r="K24" s="62">
        <f>'5.Затраты'!$C$15/12</f>
        <v>100000</v>
      </c>
      <c r="L24" s="62">
        <f>'5.Затраты'!$C$15/12</f>
        <v>100000</v>
      </c>
      <c r="M24" s="62">
        <f>'5.Затраты'!$C$15/12</f>
        <v>100000</v>
      </c>
      <c r="N24" s="63">
        <f t="shared" si="13"/>
        <v>1200000</v>
      </c>
      <c r="O24" s="62">
        <f>'5.Затраты'!D15</f>
        <v>1224000</v>
      </c>
      <c r="P24" s="62">
        <f>'5.Затраты'!E15</f>
        <v>1248480</v>
      </c>
      <c r="Q24" s="62">
        <f>'5.Затраты'!F15</f>
        <v>1273449.6</v>
      </c>
      <c r="R24" s="62">
        <f>'5.Затраты'!G15</f>
        <v>1298918.5920000002</v>
      </c>
      <c r="S24" s="62">
        <f>'5.Затраты'!H15</f>
        <v>1324896.96384</v>
      </c>
      <c r="T24" s="62">
        <f>'5.Затраты'!I15</f>
        <v>1351394.9031168001</v>
      </c>
      <c r="U24" s="62">
        <f>'5.Затраты'!J15</f>
        <v>1378422.8011791361</v>
      </c>
      <c r="V24" s="62">
        <f>'5.Затраты'!K15</f>
        <v>1405991.2572027189</v>
      </c>
      <c r="W24" s="62">
        <f>'5.Затраты'!L15</f>
        <v>1434111.0823467732</v>
      </c>
      <c r="X24" s="203">
        <f t="shared" si="2"/>
        <v>13139665.199685426</v>
      </c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</row>
    <row r="25" spans="1:96" s="140" customFormat="1" ht="16.5">
      <c r="A25" s="82" t="s">
        <v>89</v>
      </c>
      <c r="B25" s="62">
        <f>'5.Затраты'!$B$16</f>
        <v>20000</v>
      </c>
      <c r="C25" s="62">
        <f>'5.Затраты'!$B$16</f>
        <v>20000</v>
      </c>
      <c r="D25" s="62">
        <f>'5.Затраты'!$B$16</f>
        <v>20000</v>
      </c>
      <c r="E25" s="62">
        <f>'5.Затраты'!$B$16</f>
        <v>20000</v>
      </c>
      <c r="F25" s="62">
        <f>'5.Затраты'!$B$16</f>
        <v>20000</v>
      </c>
      <c r="G25" s="62">
        <f>'5.Затраты'!$B$16</f>
        <v>20000</v>
      </c>
      <c r="H25" s="62">
        <f>'5.Затраты'!$B$16</f>
        <v>20000</v>
      </c>
      <c r="I25" s="62">
        <f>'5.Затраты'!$B$16</f>
        <v>20000</v>
      </c>
      <c r="J25" s="62">
        <f>'5.Затраты'!$B$16</f>
        <v>20000</v>
      </c>
      <c r="K25" s="62">
        <f>'5.Затраты'!$B$16</f>
        <v>20000</v>
      </c>
      <c r="L25" s="62">
        <f>'5.Затраты'!$B$16</f>
        <v>20000</v>
      </c>
      <c r="M25" s="62">
        <f>'5.Затраты'!$B$16</f>
        <v>20000</v>
      </c>
      <c r="N25" s="63">
        <f t="shared" si="13"/>
        <v>240000</v>
      </c>
      <c r="O25" s="62">
        <f>'5.Затраты'!D16</f>
        <v>244800</v>
      </c>
      <c r="P25" s="62">
        <f>'5.Затраты'!E16</f>
        <v>249696</v>
      </c>
      <c r="Q25" s="62">
        <f>'5.Затраты'!F16</f>
        <v>254689.92</v>
      </c>
      <c r="R25" s="62">
        <f>'5.Затраты'!G16</f>
        <v>259783.7184</v>
      </c>
      <c r="S25" s="62">
        <f>'5.Затраты'!H16</f>
        <v>264979.392768</v>
      </c>
      <c r="T25" s="62">
        <f>'5.Затраты'!I16</f>
        <v>270278.98062336</v>
      </c>
      <c r="U25" s="62">
        <f>'5.Затраты'!J16</f>
        <v>275684.56023582723</v>
      </c>
      <c r="V25" s="62">
        <f>'5.Затраты'!K16</f>
        <v>281198.2514405438</v>
      </c>
      <c r="W25" s="62">
        <f>'5.Затраты'!L16</f>
        <v>286822.2164693547</v>
      </c>
      <c r="X25" s="203">
        <f t="shared" si="2"/>
        <v>2627933.0399370855</v>
      </c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</row>
    <row r="26" spans="1:96" s="140" customFormat="1" ht="16.5">
      <c r="A26" s="149" t="s">
        <v>96</v>
      </c>
      <c r="B26" s="143">
        <f>SUM(B18:B25)</f>
        <v>1820271.5</v>
      </c>
      <c r="C26" s="143">
        <f aca="true" t="shared" si="18" ref="C26:M26">SUM(C18:C25)</f>
        <v>1820271.5</v>
      </c>
      <c r="D26" s="143">
        <f t="shared" si="18"/>
        <v>1820271.5</v>
      </c>
      <c r="E26" s="143">
        <f t="shared" si="18"/>
        <v>1820271.5</v>
      </c>
      <c r="F26" s="143">
        <f t="shared" si="18"/>
        <v>1820271.5</v>
      </c>
      <c r="G26" s="143">
        <f t="shared" si="18"/>
        <v>1820271.5</v>
      </c>
      <c r="H26" s="143">
        <f t="shared" si="18"/>
        <v>1820271.5</v>
      </c>
      <c r="I26" s="143">
        <f t="shared" si="18"/>
        <v>1820271.5</v>
      </c>
      <c r="J26" s="143">
        <f t="shared" si="18"/>
        <v>1820271.5</v>
      </c>
      <c r="K26" s="143">
        <f t="shared" si="18"/>
        <v>1820271.5</v>
      </c>
      <c r="L26" s="143">
        <f t="shared" si="18"/>
        <v>1820271.5</v>
      </c>
      <c r="M26" s="143">
        <f t="shared" si="18"/>
        <v>1820271.5</v>
      </c>
      <c r="N26" s="60">
        <f>SUM(N18:N25)</f>
        <v>21843258</v>
      </c>
      <c r="O26" s="60">
        <f aca="true" t="shared" si="19" ref="O26:W26">SUM(O18:O25)</f>
        <v>22280123.16</v>
      </c>
      <c r="P26" s="60">
        <f t="shared" si="19"/>
        <v>22725725.6232</v>
      </c>
      <c r="Q26" s="60">
        <f t="shared" si="19"/>
        <v>23180240.135664005</v>
      </c>
      <c r="R26" s="60">
        <f t="shared" si="19"/>
        <v>23643844.938377284</v>
      </c>
      <c r="S26" s="60">
        <f>SUM(S18:S25)</f>
        <v>24116721.837144826</v>
      </c>
      <c r="T26" s="60">
        <f t="shared" si="19"/>
        <v>24599056.27388772</v>
      </c>
      <c r="U26" s="60">
        <f t="shared" si="19"/>
        <v>25091037.39936548</v>
      </c>
      <c r="V26" s="60">
        <f t="shared" si="19"/>
        <v>25592858.14735279</v>
      </c>
      <c r="W26" s="60">
        <f t="shared" si="19"/>
        <v>26104715.310299844</v>
      </c>
      <c r="X26" s="203">
        <f>SUM(N26:W26)</f>
        <v>239177580.82529193</v>
      </c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</row>
    <row r="27" spans="1:96" s="151" customFormat="1" ht="16.5">
      <c r="A27" s="149" t="s">
        <v>286</v>
      </c>
      <c r="B27" s="143">
        <f aca="true" t="shared" si="20" ref="B27:W27">B16-B26</f>
        <v>-188121.5</v>
      </c>
      <c r="C27" s="143">
        <f t="shared" si="20"/>
        <v>76628.49999999977</v>
      </c>
      <c r="D27" s="143">
        <f t="shared" si="20"/>
        <v>341378.5</v>
      </c>
      <c r="E27" s="143">
        <f t="shared" si="20"/>
        <v>658508.5</v>
      </c>
      <c r="F27" s="143">
        <f t="shared" si="20"/>
        <v>923258.5</v>
      </c>
      <c r="G27" s="143">
        <f t="shared" si="20"/>
        <v>996008.5</v>
      </c>
      <c r="H27" s="143">
        <f t="shared" si="20"/>
        <v>687638.5</v>
      </c>
      <c r="I27" s="143">
        <f t="shared" si="20"/>
        <v>134888.5</v>
      </c>
      <c r="J27" s="143">
        <f t="shared" si="20"/>
        <v>-129861.5</v>
      </c>
      <c r="K27" s="143">
        <f t="shared" si="20"/>
        <v>-394611.5</v>
      </c>
      <c r="L27" s="143">
        <f t="shared" si="20"/>
        <v>12638.5</v>
      </c>
      <c r="M27" s="143">
        <f t="shared" si="20"/>
        <v>998888.5</v>
      </c>
      <c r="N27" s="60">
        <f t="shared" si="20"/>
        <v>4117242</v>
      </c>
      <c r="O27" s="60">
        <f t="shared" si="20"/>
        <v>14092776.84</v>
      </c>
      <c r="P27" s="60">
        <f t="shared" si="20"/>
        <v>16193277.3768</v>
      </c>
      <c r="Q27" s="60">
        <f t="shared" si="20"/>
        <v>18463093.07433599</v>
      </c>
      <c r="R27" s="60">
        <f t="shared" si="20"/>
        <v>20914521.596322708</v>
      </c>
      <c r="S27" s="60">
        <f t="shared" si="20"/>
        <v>23560730.354984168</v>
      </c>
      <c r="T27" s="60">
        <f t="shared" si="20"/>
        <v>26415817.571690295</v>
      </c>
      <c r="U27" s="60">
        <f t="shared" si="20"/>
        <v>29494877.615403</v>
      </c>
      <c r="V27" s="60">
        <f t="shared" si="20"/>
        <v>32814070.918449495</v>
      </c>
      <c r="W27" s="60">
        <f t="shared" si="20"/>
        <v>36390698.7901086</v>
      </c>
      <c r="X27" s="203">
        <f t="shared" si="2"/>
        <v>222457106.13809425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</row>
    <row r="28" spans="1:96" ht="16.5" hidden="1">
      <c r="A28" s="135" t="s">
        <v>97</v>
      </c>
      <c r="B28" s="62">
        <f>'1.График (гориз)'!C16</f>
        <v>0</v>
      </c>
      <c r="C28" s="62">
        <f>'1.График (гориз)'!D16</f>
        <v>0</v>
      </c>
      <c r="D28" s="62">
        <f>'1.График (гориз)'!E16</f>
        <v>0</v>
      </c>
      <c r="E28" s="62">
        <f>'1.График (гориз)'!F16</f>
        <v>0</v>
      </c>
      <c r="F28" s="62">
        <f>'1.График (гориз)'!G16</f>
        <v>0</v>
      </c>
      <c r="G28" s="62">
        <f>'1.График (гориз)'!H16</f>
        <v>0</v>
      </c>
      <c r="H28" s="62">
        <f>'1.График (гориз)'!I16</f>
        <v>0</v>
      </c>
      <c r="I28" s="62">
        <f>'1.График (гориз)'!J16</f>
        <v>0</v>
      </c>
      <c r="J28" s="62">
        <f>'1.График (гориз)'!K16</f>
        <v>0</v>
      </c>
      <c r="K28" s="62">
        <f>'1.График (гориз)'!L16</f>
        <v>0</v>
      </c>
      <c r="L28" s="62">
        <f>'1.График (гориз)'!M16</f>
        <v>0</v>
      </c>
      <c r="M28" s="62">
        <f>'1.График (гориз)'!N16</f>
        <v>0</v>
      </c>
      <c r="N28" s="63">
        <f>SUM(B28:M28)</f>
        <v>0</v>
      </c>
      <c r="O28" s="62">
        <f>'1.График (гориз)'!O23</f>
        <v>0</v>
      </c>
      <c r="P28" s="62">
        <f>'1.График (гориз)'!O30</f>
        <v>0</v>
      </c>
      <c r="Q28" s="62">
        <f>'1.График (гориз)'!O37</f>
        <v>0</v>
      </c>
      <c r="R28" s="62">
        <f>'1.График (гориз)'!O44</f>
        <v>0</v>
      </c>
      <c r="S28" s="136">
        <f>'1.График (гориз)'!O51</f>
        <v>0</v>
      </c>
      <c r="T28" s="136">
        <f>'1.График (гориз)'!O58</f>
        <v>0</v>
      </c>
      <c r="U28" s="136">
        <f>'1.График (гориз)'!O65</f>
        <v>0</v>
      </c>
      <c r="V28" s="136">
        <f>'1.График (гориз)'!O72</f>
        <v>0</v>
      </c>
      <c r="W28" s="136">
        <f>'1.График (гориз)'!O79</f>
        <v>0</v>
      </c>
      <c r="X28" s="203">
        <f t="shared" si="2"/>
        <v>0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</row>
    <row r="29" spans="1:96" ht="16.5">
      <c r="A29" s="135" t="s">
        <v>101</v>
      </c>
      <c r="B29" s="62">
        <f>B27-B28</f>
        <v>-188121.5</v>
      </c>
      <c r="C29" s="62">
        <f aca="true" t="shared" si="21" ref="C29:P29">C27-C28</f>
        <v>76628.49999999977</v>
      </c>
      <c r="D29" s="62">
        <f t="shared" si="21"/>
        <v>341378.5</v>
      </c>
      <c r="E29" s="62">
        <f t="shared" si="21"/>
        <v>658508.5</v>
      </c>
      <c r="F29" s="62">
        <f t="shared" si="21"/>
        <v>923258.5</v>
      </c>
      <c r="G29" s="62">
        <f t="shared" si="21"/>
        <v>996008.5</v>
      </c>
      <c r="H29" s="62">
        <f t="shared" si="21"/>
        <v>687638.5</v>
      </c>
      <c r="I29" s="62">
        <f t="shared" si="21"/>
        <v>134888.5</v>
      </c>
      <c r="J29" s="62">
        <f>J27-J28</f>
        <v>-129861.5</v>
      </c>
      <c r="K29" s="62">
        <f t="shared" si="21"/>
        <v>-394611.5</v>
      </c>
      <c r="L29" s="62">
        <f t="shared" si="21"/>
        <v>12638.5</v>
      </c>
      <c r="M29" s="62">
        <f>M27-M28</f>
        <v>998888.5</v>
      </c>
      <c r="N29" s="63">
        <f>N27-N28</f>
        <v>4117242</v>
      </c>
      <c r="O29" s="62">
        <f>O27-O28</f>
        <v>14092776.84</v>
      </c>
      <c r="P29" s="62">
        <f t="shared" si="21"/>
        <v>16193277.3768</v>
      </c>
      <c r="Q29" s="62">
        <f aca="true" t="shared" si="22" ref="Q29:W29">Q27-Q28</f>
        <v>18463093.07433599</v>
      </c>
      <c r="R29" s="62">
        <f t="shared" si="22"/>
        <v>20914521.596322708</v>
      </c>
      <c r="S29" s="62">
        <f t="shared" si="22"/>
        <v>23560730.354984168</v>
      </c>
      <c r="T29" s="62">
        <f t="shared" si="22"/>
        <v>26415817.571690295</v>
      </c>
      <c r="U29" s="62">
        <f t="shared" si="22"/>
        <v>29494877.615403</v>
      </c>
      <c r="V29" s="62">
        <f t="shared" si="22"/>
        <v>32814070.918449495</v>
      </c>
      <c r="W29" s="62">
        <f t="shared" si="22"/>
        <v>36390698.7901086</v>
      </c>
      <c r="X29" s="203">
        <f t="shared" si="2"/>
        <v>222457106.13809425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</row>
    <row r="30" spans="1:96" ht="16.5">
      <c r="A30" s="135" t="s">
        <v>102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>N29*20%</f>
        <v>823448.4</v>
      </c>
      <c r="O30" s="62">
        <f aca="true" t="shared" si="23" ref="O30:W30">O29*20%</f>
        <v>2818555.3680000002</v>
      </c>
      <c r="P30" s="62">
        <f t="shared" si="23"/>
        <v>3238655.4753600005</v>
      </c>
      <c r="Q30" s="62">
        <f t="shared" si="23"/>
        <v>3692618.614867198</v>
      </c>
      <c r="R30" s="62">
        <f t="shared" si="23"/>
        <v>4182904.319264542</v>
      </c>
      <c r="S30" s="62">
        <f t="shared" si="23"/>
        <v>4712146.070996834</v>
      </c>
      <c r="T30" s="62">
        <f t="shared" si="23"/>
        <v>5283163.514338059</v>
      </c>
      <c r="U30" s="62">
        <f t="shared" si="23"/>
        <v>5898975.5230806</v>
      </c>
      <c r="V30" s="62">
        <f t="shared" si="23"/>
        <v>6562814.1836899</v>
      </c>
      <c r="W30" s="62">
        <f t="shared" si="23"/>
        <v>7278139.75802172</v>
      </c>
      <c r="X30" s="203">
        <f t="shared" si="2"/>
        <v>44491421.22761886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</row>
    <row r="31" spans="1:96" ht="16.5">
      <c r="A31" s="152" t="s">
        <v>50</v>
      </c>
      <c r="B31" s="153">
        <f aca="true" t="shared" si="24" ref="B31:P31">B29-B30</f>
        <v>-188121.5</v>
      </c>
      <c r="C31" s="153">
        <f t="shared" si="24"/>
        <v>76628.49999999977</v>
      </c>
      <c r="D31" s="153">
        <f t="shared" si="24"/>
        <v>341378.5</v>
      </c>
      <c r="E31" s="153">
        <f t="shared" si="24"/>
        <v>658508.5</v>
      </c>
      <c r="F31" s="153">
        <f t="shared" si="24"/>
        <v>923258.5</v>
      </c>
      <c r="G31" s="153">
        <f t="shared" si="24"/>
        <v>996008.5</v>
      </c>
      <c r="H31" s="153">
        <f t="shared" si="24"/>
        <v>687638.5</v>
      </c>
      <c r="I31" s="153">
        <f t="shared" si="24"/>
        <v>134888.5</v>
      </c>
      <c r="J31" s="153">
        <f>J29-J30</f>
        <v>-129861.5</v>
      </c>
      <c r="K31" s="153">
        <f t="shared" si="24"/>
        <v>-394611.5</v>
      </c>
      <c r="L31" s="153">
        <f t="shared" si="24"/>
        <v>12638.5</v>
      </c>
      <c r="M31" s="153">
        <f t="shared" si="24"/>
        <v>998888.5</v>
      </c>
      <c r="N31" s="153">
        <f>N29-N30</f>
        <v>3293793.6</v>
      </c>
      <c r="O31" s="153">
        <f>O29-O30</f>
        <v>11274221.472</v>
      </c>
      <c r="P31" s="153">
        <f t="shared" si="24"/>
        <v>12954621.90144</v>
      </c>
      <c r="Q31" s="153">
        <f aca="true" t="shared" si="25" ref="Q31:W31">Q29-Q30</f>
        <v>14770474.459468791</v>
      </c>
      <c r="R31" s="153">
        <f t="shared" si="25"/>
        <v>16731617.277058166</v>
      </c>
      <c r="S31" s="153">
        <f t="shared" si="25"/>
        <v>18848584.283987336</v>
      </c>
      <c r="T31" s="153">
        <f t="shared" si="25"/>
        <v>21132654.057352237</v>
      </c>
      <c r="U31" s="153">
        <f t="shared" si="25"/>
        <v>23595902.0923224</v>
      </c>
      <c r="V31" s="153">
        <f t="shared" si="25"/>
        <v>26251256.734759595</v>
      </c>
      <c r="W31" s="153">
        <f t="shared" si="25"/>
        <v>29112559.03208688</v>
      </c>
      <c r="X31" s="203">
        <f>SUM(N31:W31)</f>
        <v>177965684.91047543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</row>
    <row r="32" spans="1:96" ht="16.5" hidden="1">
      <c r="A32" s="135" t="s">
        <v>103</v>
      </c>
      <c r="B32" s="62">
        <f>'1.График (гориз)'!C15</f>
        <v>0</v>
      </c>
      <c r="C32" s="62">
        <f>'1.График (гориз)'!D15</f>
        <v>0</v>
      </c>
      <c r="D32" s="62">
        <f>'1.График (гориз)'!E15</f>
        <v>0</v>
      </c>
      <c r="E32" s="62">
        <f>'1.График (гориз)'!F15</f>
        <v>0</v>
      </c>
      <c r="F32" s="62">
        <f>'1.График (гориз)'!G15</f>
        <v>0</v>
      </c>
      <c r="G32" s="62">
        <f>'1.График (гориз)'!H15</f>
        <v>0</v>
      </c>
      <c r="H32" s="62">
        <f>'1.График (гориз)'!I15</f>
        <v>0</v>
      </c>
      <c r="I32" s="62">
        <f>'1.График (гориз)'!J15</f>
        <v>0</v>
      </c>
      <c r="J32" s="62">
        <f>'1.График (гориз)'!K15</f>
        <v>0</v>
      </c>
      <c r="K32" s="62">
        <f>'1.График (гориз)'!L15</f>
        <v>0</v>
      </c>
      <c r="L32" s="62">
        <f>'1.График (гориз)'!M15</f>
        <v>0</v>
      </c>
      <c r="M32" s="62">
        <f>'1.График (гориз)'!N15</f>
        <v>0</v>
      </c>
      <c r="N32" s="63">
        <f>SUM(B32:M32)</f>
        <v>0</v>
      </c>
      <c r="O32" s="62">
        <f>'1.График (гориз)'!O22</f>
        <v>0</v>
      </c>
      <c r="P32" s="62">
        <f>'1.График (гориз)'!O29</f>
        <v>0</v>
      </c>
      <c r="Q32" s="62">
        <f>'1.График (гориз)'!O36</f>
        <v>0</v>
      </c>
      <c r="R32" s="62">
        <f>'1.График (гориз)'!O43</f>
        <v>0</v>
      </c>
      <c r="S32" s="136">
        <f>'1.График (гориз)'!O50</f>
        <v>0</v>
      </c>
      <c r="T32" s="136">
        <f>'1.График (гориз)'!O57</f>
        <v>0</v>
      </c>
      <c r="U32" s="136">
        <f>'1.График (гориз)'!O64</f>
        <v>0</v>
      </c>
      <c r="V32" s="136">
        <f>'1.График (гориз)'!O71</f>
        <v>0</v>
      </c>
      <c r="W32" s="136">
        <f>'1.График (гориз)'!O78</f>
        <v>0</v>
      </c>
      <c r="X32" s="203">
        <f t="shared" si="2"/>
        <v>0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</row>
    <row r="33" spans="1:96" ht="16.5">
      <c r="A33" s="154" t="s">
        <v>285</v>
      </c>
      <c r="B33" s="155">
        <f>B31-B32</f>
        <v>-188121.5</v>
      </c>
      <c r="C33" s="155">
        <f aca="true" t="shared" si="26" ref="C33:Q33">C31-C32</f>
        <v>76628.49999999977</v>
      </c>
      <c r="D33" s="155">
        <f t="shared" si="26"/>
        <v>341378.5</v>
      </c>
      <c r="E33" s="155">
        <f t="shared" si="26"/>
        <v>658508.5</v>
      </c>
      <c r="F33" s="155">
        <f t="shared" si="26"/>
        <v>923258.5</v>
      </c>
      <c r="G33" s="155">
        <f t="shared" si="26"/>
        <v>996008.5</v>
      </c>
      <c r="H33" s="155">
        <f t="shared" si="26"/>
        <v>687638.5</v>
      </c>
      <c r="I33" s="155">
        <f t="shared" si="26"/>
        <v>134888.5</v>
      </c>
      <c r="J33" s="155">
        <f t="shared" si="26"/>
        <v>-129861.5</v>
      </c>
      <c r="K33" s="155">
        <f t="shared" si="26"/>
        <v>-394611.5</v>
      </c>
      <c r="L33" s="155">
        <f t="shared" si="26"/>
        <v>12638.5</v>
      </c>
      <c r="M33" s="155">
        <f>M31-M32</f>
        <v>998888.5</v>
      </c>
      <c r="N33" s="155">
        <f>N31-N32</f>
        <v>3293793.6</v>
      </c>
      <c r="O33" s="155">
        <f>O31-O32</f>
        <v>11274221.472</v>
      </c>
      <c r="P33" s="155">
        <f t="shared" si="26"/>
        <v>12954621.90144</v>
      </c>
      <c r="Q33" s="155">
        <f t="shared" si="26"/>
        <v>14770474.459468791</v>
      </c>
      <c r="R33" s="155">
        <f aca="true" t="shared" si="27" ref="R33:W33">R31-R32</f>
        <v>16731617.277058166</v>
      </c>
      <c r="S33" s="155">
        <f t="shared" si="27"/>
        <v>18848584.283987336</v>
      </c>
      <c r="T33" s="155">
        <f t="shared" si="27"/>
        <v>21132654.057352237</v>
      </c>
      <c r="U33" s="155">
        <f t="shared" si="27"/>
        <v>23595902.0923224</v>
      </c>
      <c r="V33" s="155">
        <f t="shared" si="27"/>
        <v>26251256.734759595</v>
      </c>
      <c r="W33" s="155">
        <f t="shared" si="27"/>
        <v>29112559.03208688</v>
      </c>
      <c r="X33" s="203">
        <f t="shared" si="2"/>
        <v>177965684.91047543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</row>
    <row r="35" ht="12.75">
      <c r="E35" s="156"/>
    </row>
    <row r="36" spans="5:24" ht="12.75">
      <c r="E36" s="156"/>
      <c r="X36" s="157"/>
    </row>
    <row r="37" spans="5:24" ht="12.75">
      <c r="E37" s="156"/>
      <c r="X37" s="157"/>
    </row>
  </sheetData>
  <sheetProtection/>
  <mergeCells count="2">
    <mergeCell ref="A4:N4"/>
    <mergeCell ref="B5:E5"/>
  </mergeCells>
  <printOptions/>
  <pageMargins left="0.5511811023622047" right="0.35433070866141736" top="0.3937007874015748" bottom="0.3937007874015748" header="0.11811023622047245" footer="0.11811023622047245"/>
  <pageSetup fitToHeight="0" fitToWidth="3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3.28125" style="4" customWidth="1"/>
    <col min="2" max="2" width="21.8515625" style="4" customWidth="1"/>
    <col min="3" max="5" width="16.8515625" style="4" bestFit="1" customWidth="1"/>
    <col min="6" max="6" width="17.8515625" style="4" customWidth="1"/>
    <col min="7" max="13" width="16.8515625" style="4" bestFit="1" customWidth="1"/>
    <col min="14" max="14" width="17.7109375" style="4" bestFit="1" customWidth="1"/>
    <col min="15" max="15" width="20.140625" style="4" customWidth="1"/>
    <col min="16" max="16" width="16.8515625" style="4" bestFit="1" customWidth="1"/>
    <col min="17" max="17" width="17.421875" style="4" customWidth="1"/>
    <col min="18" max="18" width="17.28125" style="4" bestFit="1" customWidth="1"/>
    <col min="19" max="23" width="16.8515625" style="4" bestFit="1" customWidth="1"/>
    <col min="24" max="16384" width="9.140625" style="4" customWidth="1"/>
  </cols>
  <sheetData>
    <row r="1" ht="15.75">
      <c r="A1" s="3" t="s">
        <v>125</v>
      </c>
    </row>
    <row r="2" spans="2:16" ht="19.5" customHeight="1"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9"/>
      <c r="O2" s="10"/>
      <c r="P2" s="9"/>
    </row>
    <row r="3" spans="1:18" ht="15.75">
      <c r="A3" s="111" t="s">
        <v>157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"/>
      <c r="O3" s="12"/>
      <c r="P3" s="12"/>
      <c r="Q3" s="12"/>
      <c r="R3" s="12"/>
    </row>
    <row r="4" spans="1:18" ht="1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7"/>
      <c r="P4" s="12"/>
      <c r="Q4" s="12"/>
      <c r="R4" s="12"/>
    </row>
    <row r="5" spans="1:23" ht="16.5" customHeight="1">
      <c r="A5" s="18"/>
      <c r="B5" s="19" t="s">
        <v>92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21" t="s">
        <v>73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1" t="s">
        <v>64</v>
      </c>
      <c r="O6" s="21" t="s">
        <v>65</v>
      </c>
      <c r="P6" s="21" t="s">
        <v>66</v>
      </c>
      <c r="Q6" s="21" t="s">
        <v>67</v>
      </c>
      <c r="R6" s="21" t="s">
        <v>68</v>
      </c>
      <c r="S6" s="21" t="s">
        <v>121</v>
      </c>
      <c r="T6" s="21" t="s">
        <v>123</v>
      </c>
      <c r="U6" s="21" t="s">
        <v>165</v>
      </c>
      <c r="V6" s="21" t="s">
        <v>166</v>
      </c>
      <c r="W6" s="21" t="s">
        <v>167</v>
      </c>
    </row>
    <row r="7" spans="1:23" ht="20.25" customHeight="1">
      <c r="A7" s="30" t="s">
        <v>106</v>
      </c>
      <c r="B7" s="27">
        <v>0</v>
      </c>
      <c r="C7" s="27">
        <f aca="true" t="shared" si="0" ref="C7:M7">B7+B24+B29+B36</f>
        <v>691477.0714285714</v>
      </c>
      <c r="D7" s="27">
        <f t="shared" si="0"/>
        <v>1654376.9999999995</v>
      </c>
      <c r="E7" s="27">
        <f t="shared" si="0"/>
        <v>2888699.785714285</v>
      </c>
      <c r="F7" s="27">
        <f t="shared" si="0"/>
        <v>4447519.714285713</v>
      </c>
      <c r="G7" s="27">
        <f t="shared" si="0"/>
        <v>6277762.499999998</v>
      </c>
      <c r="H7" s="27">
        <f t="shared" si="0"/>
        <v>8183725.285714284</v>
      </c>
      <c r="I7" s="27">
        <f t="shared" si="0"/>
        <v>9773488.071428569</v>
      </c>
      <c r="J7" s="27">
        <f t="shared" si="0"/>
        <v>10798273.714285713</v>
      </c>
      <c r="K7" s="27">
        <f t="shared" si="0"/>
        <v>11551636.499999998</v>
      </c>
      <c r="L7" s="27">
        <f t="shared" si="0"/>
        <v>12033576.428571425</v>
      </c>
      <c r="M7" s="27">
        <f t="shared" si="0"/>
        <v>12929053.499999996</v>
      </c>
      <c r="N7" s="27">
        <v>0</v>
      </c>
      <c r="O7" s="27">
        <f aca="true" t="shared" si="1" ref="O7:W7">N7+N24+N29+N36</f>
        <v>14011053.599999998</v>
      </c>
      <c r="P7" s="27">
        <f t="shared" si="1"/>
        <v>36459597.92914285</v>
      </c>
      <c r="Q7" s="27">
        <f t="shared" si="1"/>
        <v>60310343.6877257</v>
      </c>
      <c r="R7" s="27">
        <f t="shared" si="1"/>
        <v>85668926.27433734</v>
      </c>
      <c r="S7" s="27">
        <f t="shared" si="1"/>
        <v>112648525.19143835</v>
      </c>
      <c r="T7" s="27">
        <f t="shared" si="1"/>
        <v>141370395.12515154</v>
      </c>
      <c r="U7" s="27">
        <f t="shared" si="1"/>
        <v>171964434.26048803</v>
      </c>
      <c r="V7" s="27">
        <f t="shared" si="1"/>
        <v>204569792.43968675</v>
      </c>
      <c r="W7" s="27">
        <f t="shared" si="1"/>
        <v>239335521.95390582</v>
      </c>
    </row>
    <row r="8" spans="1:23" ht="31.5">
      <c r="A8" s="18" t="s">
        <v>107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1" customFormat="1" ht="30" customHeight="1">
      <c r="A9" s="24" t="s">
        <v>108</v>
      </c>
      <c r="B9" s="25">
        <f>B10+B11+B12</f>
        <v>2691000</v>
      </c>
      <c r="C9" s="25">
        <f aca="true" t="shared" si="2" ref="C9:M9">C10+C11+C12</f>
        <v>3210000</v>
      </c>
      <c r="D9" s="25">
        <f t="shared" si="2"/>
        <v>3729000</v>
      </c>
      <c r="E9" s="25">
        <f t="shared" si="2"/>
        <v>4302000</v>
      </c>
      <c r="F9" s="25">
        <f t="shared" si="2"/>
        <v>4821000</v>
      </c>
      <c r="G9" s="25">
        <f t="shared" si="2"/>
        <v>5052000</v>
      </c>
      <c r="H9" s="25">
        <f t="shared" si="2"/>
        <v>4443000</v>
      </c>
      <c r="I9" s="25">
        <f t="shared" si="2"/>
        <v>3492000</v>
      </c>
      <c r="J9" s="25">
        <f t="shared" si="2"/>
        <v>2973000</v>
      </c>
      <c r="K9" s="25">
        <f t="shared" si="2"/>
        <v>2454000</v>
      </c>
      <c r="L9" s="25">
        <f t="shared" si="2"/>
        <v>2943000</v>
      </c>
      <c r="M9" s="25">
        <f t="shared" si="2"/>
        <v>4788000</v>
      </c>
      <c r="N9" s="25">
        <f>N10+N11+N12</f>
        <v>44898000</v>
      </c>
      <c r="O9" s="25">
        <f>O10+O11+O12</f>
        <v>64674000</v>
      </c>
      <c r="P9" s="25">
        <f aca="true" t="shared" si="3" ref="P9:W9">P10+P11+P12</f>
        <v>69201180</v>
      </c>
      <c r="Q9" s="25">
        <f t="shared" si="3"/>
        <v>74045262.6</v>
      </c>
      <c r="R9" s="25">
        <f t="shared" si="3"/>
        <v>79228430.982</v>
      </c>
      <c r="S9" s="25">
        <f t="shared" si="3"/>
        <v>84774421.15074</v>
      </c>
      <c r="T9" s="25">
        <f t="shared" si="3"/>
        <v>90708630.63129179</v>
      </c>
      <c r="U9" s="25">
        <f t="shared" si="3"/>
        <v>97058234.77548222</v>
      </c>
      <c r="V9" s="25">
        <f t="shared" si="3"/>
        <v>103852311.20976599</v>
      </c>
      <c r="W9" s="25">
        <f t="shared" si="3"/>
        <v>111121972.9944496</v>
      </c>
    </row>
    <row r="10" spans="1:23" ht="15.75">
      <c r="A10" s="26" t="s">
        <v>98</v>
      </c>
      <c r="B10" s="13">
        <f>'6.ОПУ'!B8</f>
        <v>2691000</v>
      </c>
      <c r="C10" s="13">
        <f>'6.ОПУ'!C8</f>
        <v>3210000</v>
      </c>
      <c r="D10" s="13">
        <f>'6.ОПУ'!D8</f>
        <v>3729000</v>
      </c>
      <c r="E10" s="13">
        <f>'6.ОПУ'!E8</f>
        <v>4302000</v>
      </c>
      <c r="F10" s="13">
        <f>'6.ОПУ'!F8</f>
        <v>4821000</v>
      </c>
      <c r="G10" s="13">
        <f>'6.ОПУ'!G8</f>
        <v>5052000</v>
      </c>
      <c r="H10" s="13">
        <f>'6.ОПУ'!H8</f>
        <v>4443000</v>
      </c>
      <c r="I10" s="13">
        <f>'6.ОПУ'!I8</f>
        <v>3492000</v>
      </c>
      <c r="J10" s="13">
        <f>'6.ОПУ'!J8</f>
        <v>2973000</v>
      </c>
      <c r="K10" s="13">
        <f>'6.ОПУ'!K8</f>
        <v>2454000</v>
      </c>
      <c r="L10" s="13">
        <f>'6.ОПУ'!L8</f>
        <v>2943000</v>
      </c>
      <c r="M10" s="13">
        <f>'6.ОПУ'!M8</f>
        <v>4788000</v>
      </c>
      <c r="N10" s="13">
        <f>SUM(B10:M10)</f>
        <v>44898000</v>
      </c>
      <c r="O10" s="13">
        <f>'6.ОПУ'!O8</f>
        <v>64674000</v>
      </c>
      <c r="P10" s="13">
        <f>'6.ОПУ'!P8</f>
        <v>69201180</v>
      </c>
      <c r="Q10" s="13">
        <f>'6.ОПУ'!Q8</f>
        <v>74045262.6</v>
      </c>
      <c r="R10" s="13">
        <f>'6.ОПУ'!R8</f>
        <v>79228430.982</v>
      </c>
      <c r="S10" s="13">
        <f>'6.ОПУ'!S8</f>
        <v>84774421.15074</v>
      </c>
      <c r="T10" s="13">
        <f>'6.ОПУ'!T8</f>
        <v>90708630.63129179</v>
      </c>
      <c r="U10" s="13">
        <f>'6.ОПУ'!U8</f>
        <v>97058234.77548222</v>
      </c>
      <c r="V10" s="13">
        <f>'6.ОПУ'!V8</f>
        <v>103852311.20976599</v>
      </c>
      <c r="W10" s="13">
        <f>'6.ОПУ'!W8</f>
        <v>111121972.9944496</v>
      </c>
    </row>
    <row r="11" spans="1:23" s="11" customFormat="1" ht="15.75">
      <c r="A11" s="26" t="s">
        <v>109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15.75" hidden="1">
      <c r="A12" s="26" t="s">
        <v>202</v>
      </c>
      <c r="B12" s="13">
        <f>'6.ОПУ'!B12</f>
        <v>0</v>
      </c>
      <c r="C12" s="13">
        <f>'6.ОПУ'!C12</f>
        <v>0</v>
      </c>
      <c r="D12" s="13">
        <f>'6.ОПУ'!D12</f>
        <v>0</v>
      </c>
      <c r="E12" s="13">
        <f>'6.ОПУ'!E12</f>
        <v>0</v>
      </c>
      <c r="F12" s="13">
        <f>'6.ОПУ'!F12</f>
        <v>0</v>
      </c>
      <c r="G12" s="13">
        <f>'6.ОПУ'!G12</f>
        <v>0</v>
      </c>
      <c r="H12" s="13">
        <f>'6.ОПУ'!H12</f>
        <v>0</v>
      </c>
      <c r="I12" s="13">
        <f>'6.ОПУ'!I12</f>
        <v>0</v>
      </c>
      <c r="J12" s="13">
        <f>'6.ОПУ'!J12</f>
        <v>0</v>
      </c>
      <c r="K12" s="13">
        <f>'6.ОПУ'!K12</f>
        <v>0</v>
      </c>
      <c r="L12" s="13">
        <f>'6.ОПУ'!L12</f>
        <v>0</v>
      </c>
      <c r="M12" s="13">
        <f>'6.ОПУ'!M12</f>
        <v>0</v>
      </c>
      <c r="N12" s="13">
        <f>'6.ОПУ'!N12</f>
        <v>0</v>
      </c>
      <c r="O12" s="13">
        <f>'6.ОПУ'!O12</f>
        <v>0</v>
      </c>
      <c r="P12" s="13">
        <f>'6.ОПУ'!P12</f>
        <v>0</v>
      </c>
      <c r="Q12" s="13">
        <f>'6.ОПУ'!Q12</f>
        <v>0</v>
      </c>
      <c r="R12" s="13">
        <f>'6.ОПУ'!R12</f>
        <v>0</v>
      </c>
      <c r="S12" s="13">
        <f>'6.ОПУ'!S12</f>
        <v>0</v>
      </c>
      <c r="T12" s="13">
        <f>'6.ОПУ'!T12</f>
        <v>0</v>
      </c>
      <c r="U12" s="13">
        <f>'6.ОПУ'!U12</f>
        <v>0</v>
      </c>
      <c r="V12" s="13">
        <f>'6.ОПУ'!V12</f>
        <v>0</v>
      </c>
      <c r="W12" s="13">
        <f>'6.ОПУ'!W12</f>
        <v>0</v>
      </c>
    </row>
    <row r="13" spans="1:23" ht="15.75" customHeight="1">
      <c r="A13" s="24" t="s">
        <v>110</v>
      </c>
      <c r="B13" s="25">
        <f>SUM(B14:B23)</f>
        <v>1999522.9285714286</v>
      </c>
      <c r="C13" s="25">
        <f aca="true" t="shared" si="4" ref="C13:Q13">SUM(C15:C23)</f>
        <v>2247100.071428572</v>
      </c>
      <c r="D13" s="25">
        <f t="shared" si="4"/>
        <v>2494677.2142857146</v>
      </c>
      <c r="E13" s="25">
        <f t="shared" si="4"/>
        <v>2743180.071428572</v>
      </c>
      <c r="F13" s="25">
        <f t="shared" si="4"/>
        <v>2990757.2142857146</v>
      </c>
      <c r="G13" s="25">
        <f t="shared" si="4"/>
        <v>3146037.2142857146</v>
      </c>
      <c r="H13" s="25">
        <f t="shared" si="4"/>
        <v>2853237.2142857146</v>
      </c>
      <c r="I13" s="25">
        <f t="shared" si="4"/>
        <v>2467214.3571428573</v>
      </c>
      <c r="J13" s="25">
        <f t="shared" si="4"/>
        <v>2219637.2142857146</v>
      </c>
      <c r="K13" s="25">
        <f t="shared" si="4"/>
        <v>1972060.0714285718</v>
      </c>
      <c r="L13" s="25">
        <f t="shared" si="4"/>
        <v>2047522.9285714286</v>
      </c>
      <c r="M13" s="25">
        <f t="shared" si="4"/>
        <v>2882551.5</v>
      </c>
      <c r="N13" s="25">
        <f>SUM(N14:N23)</f>
        <v>30886946.400000002</v>
      </c>
      <c r="O13" s="25">
        <f t="shared" si="4"/>
        <v>42225455.67085715</v>
      </c>
      <c r="P13" s="25">
        <f>SUM(P15:P23)</f>
        <v>45350434.24141715</v>
      </c>
      <c r="Q13" s="25">
        <f t="shared" si="4"/>
        <v>48686680.01338836</v>
      </c>
      <c r="R13" s="25">
        <f aca="true" t="shared" si="5" ref="R13:W13">SUM(R15:R23)</f>
        <v>52248832.064898975</v>
      </c>
      <c r="S13" s="25">
        <f t="shared" si="5"/>
        <v>56052551.21702681</v>
      </c>
      <c r="T13" s="25">
        <f t="shared" si="5"/>
        <v>60114591.49595529</v>
      </c>
      <c r="U13" s="25">
        <f t="shared" si="5"/>
        <v>64452876.5962835</v>
      </c>
      <c r="V13" s="25">
        <f t="shared" si="5"/>
        <v>69086581.69554693</v>
      </c>
      <c r="W13" s="25">
        <f t="shared" si="5"/>
        <v>74036220.99450925</v>
      </c>
    </row>
    <row r="14" spans="1:23" ht="15.75" customHeight="1" hidden="1">
      <c r="A14" s="24" t="s">
        <v>135</v>
      </c>
      <c r="B14" s="13">
        <f>'1.График (гориз)'!E8*0.0035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3">
        <f aca="true" t="shared" si="6" ref="N14:N22">SUM(B14:M14)</f>
        <v>0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26" t="s">
        <v>100</v>
      </c>
      <c r="B15" s="13">
        <f>'6.ОПУ'!B15</f>
        <v>1058850</v>
      </c>
      <c r="C15" s="13">
        <f>'6.ОПУ'!C15</f>
        <v>1313100.0000000002</v>
      </c>
      <c r="D15" s="13">
        <f>'6.ОПУ'!D15</f>
        <v>1567350</v>
      </c>
      <c r="E15" s="13">
        <f>'6.ОПУ'!E15</f>
        <v>1823220</v>
      </c>
      <c r="F15" s="13">
        <f>'6.ОПУ'!F15</f>
        <v>2077470.0000000002</v>
      </c>
      <c r="G15" s="13">
        <f>'6.ОПУ'!G15</f>
        <v>2235720</v>
      </c>
      <c r="H15" s="13">
        <f>'6.ОПУ'!H15</f>
        <v>1935090.0000000002</v>
      </c>
      <c r="I15" s="13">
        <f>'6.ОПУ'!I15</f>
        <v>1536840</v>
      </c>
      <c r="J15" s="13">
        <f>'6.ОПУ'!J15</f>
        <v>1282590</v>
      </c>
      <c r="K15" s="13">
        <f>'6.ОПУ'!K15</f>
        <v>1028340.0000000001</v>
      </c>
      <c r="L15" s="13">
        <f>'6.ОПУ'!L15</f>
        <v>1110090</v>
      </c>
      <c r="M15" s="13">
        <f>'6.ОПУ'!M15</f>
        <v>1968840</v>
      </c>
      <c r="N15" s="13">
        <f>'6.ОПУ'!N15</f>
        <v>18937500</v>
      </c>
      <c r="O15" s="13">
        <f>'6.ОПУ'!O15</f>
        <v>28301100</v>
      </c>
      <c r="P15" s="13">
        <f>'6.ОПУ'!P15</f>
        <v>30282177</v>
      </c>
      <c r="Q15" s="13">
        <f>'6.ОПУ'!Q15</f>
        <v>32401929.39</v>
      </c>
      <c r="R15" s="13">
        <f>'6.ОПУ'!R15</f>
        <v>34670064.4473</v>
      </c>
      <c r="S15" s="13">
        <f>'6.ОПУ'!S15</f>
        <v>37096968.958611004</v>
      </c>
      <c r="T15" s="13">
        <f>'6.ОПУ'!T15</f>
        <v>39693756.78571378</v>
      </c>
      <c r="U15" s="13">
        <f>'6.ОПУ'!U15</f>
        <v>42472319.76071374</v>
      </c>
      <c r="V15" s="13">
        <f>'6.ОПУ'!V15</f>
        <v>45445382.1439637</v>
      </c>
      <c r="W15" s="13">
        <f>'6.ОПУ'!W15</f>
        <v>48626558.89404116</v>
      </c>
    </row>
    <row r="16" spans="1:23" ht="33" customHeight="1">
      <c r="A16" s="26" t="s">
        <v>82</v>
      </c>
      <c r="B16" s="13">
        <f>'6.ОПУ'!B18</f>
        <v>790000</v>
      </c>
      <c r="C16" s="13">
        <f>'6.ОПУ'!C18</f>
        <v>790000</v>
      </c>
      <c r="D16" s="13">
        <f>'6.ОПУ'!D18</f>
        <v>790000</v>
      </c>
      <c r="E16" s="13">
        <f>'6.ОПУ'!E18</f>
        <v>790000</v>
      </c>
      <c r="F16" s="13">
        <f>'6.ОПУ'!F18</f>
        <v>790000</v>
      </c>
      <c r="G16" s="13">
        <f>'6.ОПУ'!G18</f>
        <v>790000</v>
      </c>
      <c r="H16" s="13">
        <f>'6.ОПУ'!H18</f>
        <v>790000</v>
      </c>
      <c r="I16" s="13">
        <f>'6.ОПУ'!I18</f>
        <v>790000</v>
      </c>
      <c r="J16" s="13">
        <f>'6.ОПУ'!J18</f>
        <v>790000</v>
      </c>
      <c r="K16" s="13">
        <f>'6.ОПУ'!K18</f>
        <v>790000</v>
      </c>
      <c r="L16" s="13">
        <f>'6.ОПУ'!L18</f>
        <v>790000</v>
      </c>
      <c r="M16" s="13">
        <f>'6.ОПУ'!M18</f>
        <v>790000</v>
      </c>
      <c r="N16" s="13">
        <f>'6.ОПУ'!N18</f>
        <v>9480000</v>
      </c>
      <c r="O16" s="13">
        <f>'6.ОПУ'!O18</f>
        <v>9669600</v>
      </c>
      <c r="P16" s="13">
        <f>'6.ОПУ'!P18</f>
        <v>9862992</v>
      </c>
      <c r="Q16" s="13">
        <f>'6.ОПУ'!Q18</f>
        <v>10060251.84</v>
      </c>
      <c r="R16" s="13">
        <f>'6.ОПУ'!R18</f>
        <v>10261456.8768</v>
      </c>
      <c r="S16" s="13">
        <f>'6.ОПУ'!S18</f>
        <v>10466686.014336001</v>
      </c>
      <c r="T16" s="13">
        <f>'6.ОПУ'!T18</f>
        <v>10676019.73462272</v>
      </c>
      <c r="U16" s="13">
        <f>'6.ОПУ'!U18</f>
        <v>10889540.129315175</v>
      </c>
      <c r="V16" s="13">
        <f>'6.ОПУ'!V18</f>
        <v>11107330.93190148</v>
      </c>
      <c r="W16" s="13">
        <f>'6.ОПУ'!W18</f>
        <v>11329477.550539508</v>
      </c>
    </row>
    <row r="17" spans="1:23" ht="33" customHeight="1">
      <c r="A17" s="28" t="s">
        <v>90</v>
      </c>
      <c r="B17" s="13">
        <f>'6.ОПУ'!B22</f>
        <v>15000</v>
      </c>
      <c r="C17" s="13">
        <f>'6.ОПУ'!C22</f>
        <v>15000</v>
      </c>
      <c r="D17" s="13">
        <f>'6.ОПУ'!D22</f>
        <v>15000</v>
      </c>
      <c r="E17" s="13">
        <f>'6.ОПУ'!E22</f>
        <v>15000</v>
      </c>
      <c r="F17" s="13">
        <f>'6.ОПУ'!F22</f>
        <v>15000</v>
      </c>
      <c r="G17" s="13">
        <f>'6.ОПУ'!G22</f>
        <v>15000</v>
      </c>
      <c r="H17" s="13">
        <f>'6.ОПУ'!H22</f>
        <v>15000</v>
      </c>
      <c r="I17" s="13">
        <f>'6.ОПУ'!I22</f>
        <v>15000</v>
      </c>
      <c r="J17" s="13">
        <f>'6.ОПУ'!J22</f>
        <v>15000</v>
      </c>
      <c r="K17" s="13">
        <f>'6.ОПУ'!K22</f>
        <v>15000</v>
      </c>
      <c r="L17" s="13">
        <f>'6.ОПУ'!L22</f>
        <v>15000</v>
      </c>
      <c r="M17" s="13">
        <f>'6.ОПУ'!M22</f>
        <v>15000</v>
      </c>
      <c r="N17" s="13">
        <f t="shared" si="6"/>
        <v>180000</v>
      </c>
      <c r="O17" s="13">
        <f>'6.ОПУ'!O22</f>
        <v>183600</v>
      </c>
      <c r="P17" s="13">
        <f>'6.ОПУ'!P22</f>
        <v>187272</v>
      </c>
      <c r="Q17" s="13">
        <f>'6.ОПУ'!Q22</f>
        <v>191017.44</v>
      </c>
      <c r="R17" s="13">
        <f>'6.ОПУ'!R22</f>
        <v>194837.7888</v>
      </c>
      <c r="S17" s="13">
        <f>'6.ОПУ'!S22</f>
        <v>198734.54457600001</v>
      </c>
      <c r="T17" s="13">
        <f>'6.ОПУ'!T22</f>
        <v>202709.23546752002</v>
      </c>
      <c r="U17" s="13">
        <f>'6.ОПУ'!U22</f>
        <v>206763.42017687042</v>
      </c>
      <c r="V17" s="13">
        <f>'6.ОПУ'!V22</f>
        <v>210898.68858040785</v>
      </c>
      <c r="W17" s="13">
        <f>'6.ОПУ'!W22</f>
        <v>215116.66235201602</v>
      </c>
    </row>
    <row r="18" spans="1:23" ht="33" customHeight="1">
      <c r="A18" s="29" t="s">
        <v>91</v>
      </c>
      <c r="B18" s="13">
        <f>'6.ОПУ'!B23</f>
        <v>18000</v>
      </c>
      <c r="C18" s="13">
        <f>'6.ОПУ'!C23</f>
        <v>18000</v>
      </c>
      <c r="D18" s="13">
        <f>'6.ОПУ'!D23</f>
        <v>18000</v>
      </c>
      <c r="E18" s="13">
        <f>'6.ОПУ'!E23</f>
        <v>18000</v>
      </c>
      <c r="F18" s="13">
        <f>'6.ОПУ'!F23</f>
        <v>18000</v>
      </c>
      <c r="G18" s="13">
        <f>'6.ОПУ'!G23</f>
        <v>18000</v>
      </c>
      <c r="H18" s="13">
        <f>'6.ОПУ'!H23</f>
        <v>18000</v>
      </c>
      <c r="I18" s="13">
        <f>'6.ОПУ'!I23</f>
        <v>18000</v>
      </c>
      <c r="J18" s="13">
        <f>'6.ОПУ'!J23</f>
        <v>18000</v>
      </c>
      <c r="K18" s="13">
        <f>'6.ОПУ'!K23</f>
        <v>18000</v>
      </c>
      <c r="L18" s="13">
        <f>'6.ОПУ'!L23</f>
        <v>18000</v>
      </c>
      <c r="M18" s="13">
        <f>'6.ОПУ'!M23</f>
        <v>18000</v>
      </c>
      <c r="N18" s="13">
        <f t="shared" si="6"/>
        <v>216000</v>
      </c>
      <c r="O18" s="13">
        <f>'6.ОПУ'!O23</f>
        <v>220320</v>
      </c>
      <c r="P18" s="13">
        <f>'6.ОПУ'!P23</f>
        <v>224726.4</v>
      </c>
      <c r="Q18" s="13">
        <f>'6.ОПУ'!Q23</f>
        <v>229220.92799999999</v>
      </c>
      <c r="R18" s="13">
        <f>'6.ОПУ'!R23</f>
        <v>233805.34655999998</v>
      </c>
      <c r="S18" s="13">
        <f>'6.ОПУ'!S23</f>
        <v>238481.4534912</v>
      </c>
      <c r="T18" s="13">
        <f>'6.ОПУ'!T23</f>
        <v>243251.082561024</v>
      </c>
      <c r="U18" s="13">
        <f>'6.ОПУ'!U23</f>
        <v>248116.10421224448</v>
      </c>
      <c r="V18" s="13">
        <f>'6.ОПУ'!V23</f>
        <v>253078.42629648937</v>
      </c>
      <c r="W18" s="13">
        <f>'6.ОПУ'!W23</f>
        <v>258139.99482241916</v>
      </c>
    </row>
    <row r="19" spans="1:23" s="11" customFormat="1" ht="30" customHeight="1">
      <c r="A19" s="28" t="s">
        <v>88</v>
      </c>
      <c r="B19" s="13">
        <f>'6.ОПУ'!B24</f>
        <v>100000</v>
      </c>
      <c r="C19" s="13">
        <f>'6.ОПУ'!C24</f>
        <v>100000</v>
      </c>
      <c r="D19" s="13">
        <f>'6.ОПУ'!D24</f>
        <v>100000</v>
      </c>
      <c r="E19" s="13">
        <f>'6.ОПУ'!E24</f>
        <v>100000</v>
      </c>
      <c r="F19" s="13">
        <f>'6.ОПУ'!F24</f>
        <v>100000</v>
      </c>
      <c r="G19" s="13">
        <f>'6.ОПУ'!G24</f>
        <v>100000</v>
      </c>
      <c r="H19" s="13">
        <f>'6.ОПУ'!H24</f>
        <v>100000</v>
      </c>
      <c r="I19" s="13">
        <f>'6.ОПУ'!I24</f>
        <v>100000</v>
      </c>
      <c r="J19" s="13">
        <f>'6.ОПУ'!J24</f>
        <v>100000</v>
      </c>
      <c r="K19" s="13">
        <f>'6.ОПУ'!K24</f>
        <v>100000</v>
      </c>
      <c r="L19" s="13">
        <f>'6.ОПУ'!L24</f>
        <v>100000</v>
      </c>
      <c r="M19" s="13">
        <f>'6.ОПУ'!M24</f>
        <v>100000</v>
      </c>
      <c r="N19" s="13">
        <f t="shared" si="6"/>
        <v>1200000</v>
      </c>
      <c r="O19" s="13">
        <f>'6.ОПУ'!O24</f>
        <v>1224000</v>
      </c>
      <c r="P19" s="13">
        <f>'6.ОПУ'!P24</f>
        <v>1248480</v>
      </c>
      <c r="Q19" s="13">
        <f>'6.ОПУ'!Q24</f>
        <v>1273449.6</v>
      </c>
      <c r="R19" s="13">
        <f>'6.ОПУ'!R24</f>
        <v>1298918.5920000002</v>
      </c>
      <c r="S19" s="13">
        <f>'6.ОПУ'!S24</f>
        <v>1324896.96384</v>
      </c>
      <c r="T19" s="13">
        <f>'6.ОПУ'!T24</f>
        <v>1351394.9031168001</v>
      </c>
      <c r="U19" s="13">
        <f>'6.ОПУ'!U24</f>
        <v>1378422.8011791361</v>
      </c>
      <c r="V19" s="13">
        <f>'6.ОПУ'!V24</f>
        <v>1405991.2572027189</v>
      </c>
      <c r="W19" s="13">
        <f>'6.ОПУ'!W24</f>
        <v>1434111.0823467732</v>
      </c>
    </row>
    <row r="20" spans="1:23" ht="16.5" customHeight="1">
      <c r="A20" s="28" t="s">
        <v>89</v>
      </c>
      <c r="B20" s="13">
        <f>'6.ОПУ'!B25</f>
        <v>20000</v>
      </c>
      <c r="C20" s="13">
        <f>'6.ОПУ'!C25</f>
        <v>20000</v>
      </c>
      <c r="D20" s="13">
        <f>'6.ОПУ'!D25</f>
        <v>20000</v>
      </c>
      <c r="E20" s="13">
        <f>'6.ОПУ'!E25</f>
        <v>20000</v>
      </c>
      <c r="F20" s="13">
        <f>'6.ОПУ'!F25</f>
        <v>20000</v>
      </c>
      <c r="G20" s="13">
        <f>'6.ОПУ'!G25</f>
        <v>20000</v>
      </c>
      <c r="H20" s="13">
        <f>'6.ОПУ'!H25</f>
        <v>20000</v>
      </c>
      <c r="I20" s="13">
        <f>'6.ОПУ'!I25</f>
        <v>20000</v>
      </c>
      <c r="J20" s="13">
        <f>'6.ОПУ'!J25</f>
        <v>20000</v>
      </c>
      <c r="K20" s="13">
        <f>'6.ОПУ'!K25</f>
        <v>20000</v>
      </c>
      <c r="L20" s="13">
        <f>'6.ОПУ'!L25</f>
        <v>20000</v>
      </c>
      <c r="M20" s="13">
        <f>'6.ОПУ'!M25</f>
        <v>20000</v>
      </c>
      <c r="N20" s="13">
        <f t="shared" si="6"/>
        <v>240000</v>
      </c>
      <c r="O20" s="13">
        <f>'6.ОПУ'!O25</f>
        <v>244800</v>
      </c>
      <c r="P20" s="13">
        <f>'6.ОПУ'!P25</f>
        <v>249696</v>
      </c>
      <c r="Q20" s="13">
        <f>'6.ОПУ'!Q25</f>
        <v>254689.92</v>
      </c>
      <c r="R20" s="13">
        <f>'6.ОПУ'!R25</f>
        <v>259783.7184</v>
      </c>
      <c r="S20" s="13">
        <f>'6.ОПУ'!S25</f>
        <v>264979.392768</v>
      </c>
      <c r="T20" s="13">
        <f>'6.ОПУ'!T25</f>
        <v>270278.98062336</v>
      </c>
      <c r="U20" s="13">
        <f>'6.ОПУ'!U25</f>
        <v>275684.56023582723</v>
      </c>
      <c r="V20" s="13">
        <f>'6.ОПУ'!V25</f>
        <v>281198.2514405438</v>
      </c>
      <c r="W20" s="13">
        <f>'6.ОПУ'!W25</f>
        <v>286822.2164693547</v>
      </c>
    </row>
    <row r="21" spans="1:23" s="11" customFormat="1" ht="30" customHeight="1">
      <c r="A21" s="26" t="s">
        <v>111</v>
      </c>
      <c r="B21" s="13">
        <f>'6.ОПУ'!B28</f>
        <v>0</v>
      </c>
      <c r="C21" s="13">
        <f>'6.ОПУ'!C28</f>
        <v>0</v>
      </c>
      <c r="D21" s="13">
        <f>'6.ОПУ'!D28</f>
        <v>0</v>
      </c>
      <c r="E21" s="13">
        <f>'6.ОПУ'!E28</f>
        <v>0</v>
      </c>
      <c r="F21" s="13">
        <f>'6.ОПУ'!F28</f>
        <v>0</v>
      </c>
      <c r="G21" s="13">
        <f>'6.ОПУ'!G28</f>
        <v>0</v>
      </c>
      <c r="H21" s="13">
        <f>'6.ОПУ'!H28</f>
        <v>0</v>
      </c>
      <c r="I21" s="13">
        <f>'6.ОПУ'!I28</f>
        <v>0</v>
      </c>
      <c r="J21" s="13">
        <f>'6.ОПУ'!J28</f>
        <v>0</v>
      </c>
      <c r="K21" s="13">
        <f>'6.ОПУ'!K28</f>
        <v>0</v>
      </c>
      <c r="L21" s="13">
        <f>'6.ОПУ'!L28</f>
        <v>0</v>
      </c>
      <c r="M21" s="13">
        <f>'6.ОПУ'!M28</f>
        <v>0</v>
      </c>
      <c r="N21" s="13">
        <f>'6.ОПУ'!N28</f>
        <v>0</v>
      </c>
      <c r="O21" s="13">
        <f>'6.ОПУ'!O28</f>
        <v>0</v>
      </c>
      <c r="P21" s="13">
        <f>'6.ОПУ'!P28</f>
        <v>0</v>
      </c>
      <c r="Q21" s="13">
        <f>'6.ОПУ'!Q28</f>
        <v>0</v>
      </c>
      <c r="R21" s="13">
        <f>'6.ОПУ'!R28</f>
        <v>0</v>
      </c>
      <c r="S21" s="13">
        <f>'6.ОПУ'!S28</f>
        <v>0</v>
      </c>
      <c r="T21" s="13">
        <f>'6.ОПУ'!T28</f>
        <v>0</v>
      </c>
      <c r="U21" s="13">
        <f>'6.ОПУ'!U28</f>
        <v>0</v>
      </c>
      <c r="V21" s="13">
        <f>'6.ОПУ'!V28</f>
        <v>0</v>
      </c>
      <c r="W21" s="13">
        <f>'6.ОПУ'!W28</f>
        <v>0</v>
      </c>
    </row>
    <row r="22" spans="1:23" ht="15" customHeight="1">
      <c r="A22" s="26" t="s">
        <v>112</v>
      </c>
      <c r="B22" s="13">
        <f>'6.ОПУ'!B11</f>
        <v>-34598.57142857136</v>
      </c>
      <c r="C22" s="13">
        <f>'6.ОПУ'!C11</f>
        <v>-41271.42857142817</v>
      </c>
      <c r="D22" s="13">
        <f>'6.ОПУ'!D11</f>
        <v>-47944.28571428545</v>
      </c>
      <c r="E22" s="13">
        <f>'6.ОПУ'!E11</f>
        <v>-55311.42857142817</v>
      </c>
      <c r="F22" s="13">
        <f>'6.ОПУ'!F11</f>
        <v>-61984.28571428545</v>
      </c>
      <c r="G22" s="13">
        <f>'6.ОПУ'!G11</f>
        <v>-64954.28571428545</v>
      </c>
      <c r="H22" s="13">
        <f>'6.ОПУ'!H11</f>
        <v>-57124.28571428545</v>
      </c>
      <c r="I22" s="13">
        <f>'6.ОПУ'!I11</f>
        <v>-44897.142857142724</v>
      </c>
      <c r="J22" s="13">
        <f>'6.ОПУ'!J11</f>
        <v>-38224.28571428545</v>
      </c>
      <c r="K22" s="13">
        <f>'6.ОПУ'!K11</f>
        <v>-31551.428571428172</v>
      </c>
      <c r="L22" s="13">
        <f>'6.ОПУ'!L11</f>
        <v>-37838.57142857136</v>
      </c>
      <c r="M22" s="13">
        <f>'6.ОПУ'!M11</f>
        <v>-61560</v>
      </c>
      <c r="N22" s="13">
        <f t="shared" si="6"/>
        <v>-577259.9999999972</v>
      </c>
      <c r="O22" s="13">
        <f>'6.ОПУ'!O11</f>
        <v>-831522.8571428508</v>
      </c>
      <c r="P22" s="13">
        <f>'6.ОПУ'!P11</f>
        <v>-346467.85714285076</v>
      </c>
      <c r="Q22" s="13">
        <f>'6.ОПУ'!Q11</f>
        <v>172540.99285715073</v>
      </c>
      <c r="R22" s="13">
        <f>'6.ОПУ'!R11</f>
        <v>727880.4623571485</v>
      </c>
      <c r="S22" s="13">
        <f>'6.ОПУ'!S11</f>
        <v>1322093.6947221458</v>
      </c>
      <c r="T22" s="13">
        <f>'6.ОПУ'!T11</f>
        <v>1957901.8533526957</v>
      </c>
      <c r="U22" s="13">
        <f>'6.ОПУ'!U11</f>
        <v>2638216.5830873847</v>
      </c>
      <c r="V22" s="13">
        <f>'6.ОПУ'!V11</f>
        <v>3366153.3439035118</v>
      </c>
      <c r="W22" s="13">
        <f>'6.ОПУ'!W11</f>
        <v>4145045.6779767573</v>
      </c>
    </row>
    <row r="23" spans="1:23" ht="30" customHeight="1">
      <c r="A23" s="26" t="s">
        <v>102</v>
      </c>
      <c r="B23" s="13">
        <f>'6.ОПУ'!B19++'6.ОПУ'!B30</f>
        <v>32271.5</v>
      </c>
      <c r="C23" s="13">
        <f>'6.ОПУ'!C19++'6.ОПУ'!C30</f>
        <v>32271.5</v>
      </c>
      <c r="D23" s="13">
        <f>'6.ОПУ'!D19++'6.ОПУ'!D30</f>
        <v>32271.5</v>
      </c>
      <c r="E23" s="13">
        <f>'6.ОПУ'!E19++'6.ОПУ'!E30</f>
        <v>32271.5</v>
      </c>
      <c r="F23" s="13">
        <f>'6.ОПУ'!F19++'6.ОПУ'!F30</f>
        <v>32271.5</v>
      </c>
      <c r="G23" s="13">
        <f>'6.ОПУ'!G19++'6.ОПУ'!G30</f>
        <v>32271.5</v>
      </c>
      <c r="H23" s="13">
        <f>'6.ОПУ'!H19++'6.ОПУ'!H30</f>
        <v>32271.5</v>
      </c>
      <c r="I23" s="13">
        <f>'6.ОПУ'!I19++'6.ОПУ'!I30</f>
        <v>32271.5</v>
      </c>
      <c r="J23" s="13">
        <f>'6.ОПУ'!J19++'6.ОПУ'!J30</f>
        <v>32271.5</v>
      </c>
      <c r="K23" s="13">
        <f>'6.ОПУ'!K19++'6.ОПУ'!K30</f>
        <v>32271.5</v>
      </c>
      <c r="L23" s="13">
        <f>'6.ОПУ'!L19++'6.ОПУ'!L30</f>
        <v>32271.5</v>
      </c>
      <c r="M23" s="13">
        <f>'6.ОПУ'!M19++'6.ОПУ'!M30</f>
        <v>32271.5</v>
      </c>
      <c r="N23" s="13">
        <f>'6.ОПУ'!N19++'6.ОПУ'!N30</f>
        <v>1210706.4</v>
      </c>
      <c r="O23" s="13">
        <f>'6.ОПУ'!O19++'6.ОПУ'!O30</f>
        <v>3213558.5280000004</v>
      </c>
      <c r="P23" s="13">
        <f>'6.ОПУ'!P19++'6.ОПУ'!P30</f>
        <v>3641558.6985600004</v>
      </c>
      <c r="Q23" s="13">
        <f>'6.ОПУ'!Q19++'6.ОПУ'!Q30</f>
        <v>4103579.9025311978</v>
      </c>
      <c r="R23" s="13">
        <f>'6.ОПУ'!R19++'6.ОПУ'!R30</f>
        <v>4602084.832681822</v>
      </c>
      <c r="S23" s="13">
        <f>'6.ОПУ'!S19++'6.ОПУ'!S30</f>
        <v>5139710.194682459</v>
      </c>
      <c r="T23" s="13">
        <f>'6.ОПУ'!T19++'6.ОПУ'!T30</f>
        <v>5719278.920497398</v>
      </c>
      <c r="U23" s="13">
        <f>'6.ОПУ'!U19++'6.ОПУ'!U30</f>
        <v>6343813.237363125</v>
      </c>
      <c r="V23" s="13">
        <f>'6.ОПУ'!V19++'6.ОПУ'!V30</f>
        <v>7016548.652258075</v>
      </c>
      <c r="W23" s="13">
        <f>'6.ОПУ'!W19++'6.ОПУ'!W30</f>
        <v>7740948.915961259</v>
      </c>
    </row>
    <row r="24" spans="1:23" s="11" customFormat="1" ht="31.5">
      <c r="A24" s="18" t="s">
        <v>113</v>
      </c>
      <c r="B24" s="27">
        <f>B9-B13</f>
        <v>691477.0714285714</v>
      </c>
      <c r="C24" s="27">
        <f aca="true" t="shared" si="7" ref="C24:Q24">C9-C13</f>
        <v>962899.9285714282</v>
      </c>
      <c r="D24" s="27">
        <f t="shared" si="7"/>
        <v>1234322.7857142854</v>
      </c>
      <c r="E24" s="27">
        <f>E9-E13</f>
        <v>1558819.9285714282</v>
      </c>
      <c r="F24" s="27">
        <f t="shared" si="7"/>
        <v>1830242.7857142854</v>
      </c>
      <c r="G24" s="27">
        <f t="shared" si="7"/>
        <v>1905962.7857142854</v>
      </c>
      <c r="H24" s="27">
        <f t="shared" si="7"/>
        <v>1589762.7857142854</v>
      </c>
      <c r="I24" s="27">
        <f t="shared" si="7"/>
        <v>1024785.6428571427</v>
      </c>
      <c r="J24" s="27">
        <f t="shared" si="7"/>
        <v>753362.7857142854</v>
      </c>
      <c r="K24" s="27">
        <f t="shared" si="7"/>
        <v>481939.9285714282</v>
      </c>
      <c r="L24" s="27">
        <f t="shared" si="7"/>
        <v>895477.0714285714</v>
      </c>
      <c r="M24" s="27">
        <f t="shared" si="7"/>
        <v>1905448.5</v>
      </c>
      <c r="N24" s="27">
        <f>N9-N13</f>
        <v>14011053.599999998</v>
      </c>
      <c r="O24" s="27">
        <f t="shared" si="7"/>
        <v>22448544.329142854</v>
      </c>
      <c r="P24" s="27">
        <f t="shared" si="7"/>
        <v>23850745.758582853</v>
      </c>
      <c r="Q24" s="27">
        <f t="shared" si="7"/>
        <v>25358582.586611636</v>
      </c>
      <c r="R24" s="27">
        <f aca="true" t="shared" si="8" ref="R24:W24">R9-R13</f>
        <v>26979598.917101018</v>
      </c>
      <c r="S24" s="27">
        <f t="shared" si="8"/>
        <v>28721869.93371319</v>
      </c>
      <c r="T24" s="27">
        <f t="shared" si="8"/>
        <v>30594039.135336503</v>
      </c>
      <c r="U24" s="27">
        <f t="shared" si="8"/>
        <v>32605358.17919872</v>
      </c>
      <c r="V24" s="27">
        <f t="shared" si="8"/>
        <v>34765729.51421906</v>
      </c>
      <c r="W24" s="27">
        <f t="shared" si="8"/>
        <v>37085751.99994035</v>
      </c>
    </row>
    <row r="25" spans="1:23" ht="15.75">
      <c r="A25" s="191" t="s">
        <v>114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26" t="s">
        <v>108</v>
      </c>
      <c r="B26" s="25">
        <f>B27+B28</f>
        <v>7855571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7.25" customHeight="1">
      <c r="A27" s="26" t="s">
        <v>295</v>
      </c>
      <c r="B27" s="13">
        <f>инвестиции!C9+инвестиции!C13+инвестиции!C14</f>
        <v>5855571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2.25" customHeight="1">
      <c r="A28" s="26" t="s">
        <v>296</v>
      </c>
      <c r="B28" s="13">
        <f>инвестиции!C10+инвестиции!C11+инвестиции!C12</f>
        <v>2000000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>SUM(B28:M28)</f>
        <v>2000000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0.75" customHeight="1">
      <c r="A29" s="18" t="s">
        <v>115</v>
      </c>
      <c r="B29" s="27">
        <f>B26-B27-B28</f>
        <v>0</v>
      </c>
      <c r="C29" s="27">
        <f aca="true" t="shared" si="9" ref="C29:M29">C26-C28</f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>
        <f>SUM(B29:M29)</f>
        <v>0</v>
      </c>
      <c r="O29" s="27">
        <f aca="true" t="shared" si="10" ref="O29:W29">O26-O28</f>
        <v>0</v>
      </c>
      <c r="P29" s="27">
        <f t="shared" si="10"/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</row>
    <row r="30" spans="1:23" s="11" customFormat="1" ht="31.5">
      <c r="A30" s="18" t="s">
        <v>116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6.5" customHeight="1">
      <c r="A31" s="24" t="s">
        <v>117</v>
      </c>
      <c r="B31" s="25"/>
      <c r="C31" s="25">
        <f aca="true" t="shared" si="11" ref="C31:W31">C33+C32</f>
        <v>0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</row>
    <row r="32" spans="1:23" ht="16.5" customHeight="1">
      <c r="A32" s="26" t="s">
        <v>172</v>
      </c>
      <c r="B32" s="25">
        <v>150000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1" customFormat="1" ht="30" customHeight="1">
      <c r="A33" s="26" t="s">
        <v>118</v>
      </c>
      <c r="B33" s="13">
        <f>'1.График (гориз)'!E8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>SUM(B33:M33)</f>
        <v>0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5" customHeight="1">
      <c r="A34" s="24" t="s">
        <v>110</v>
      </c>
      <c r="B34" s="25">
        <f aca="true" t="shared" si="12" ref="B34:W34">SUM(B35:B35)</f>
        <v>0</v>
      </c>
      <c r="C34" s="25">
        <f t="shared" si="12"/>
        <v>0</v>
      </c>
      <c r="D34" s="25">
        <f t="shared" si="12"/>
        <v>0</v>
      </c>
      <c r="E34" s="25">
        <f t="shared" si="12"/>
        <v>0</v>
      </c>
      <c r="F34" s="25">
        <f t="shared" si="12"/>
        <v>0</v>
      </c>
      <c r="G34" s="25">
        <f t="shared" si="12"/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5">
        <f t="shared" si="12"/>
        <v>0</v>
      </c>
      <c r="S34" s="25">
        <f t="shared" si="12"/>
        <v>0</v>
      </c>
      <c r="T34" s="25">
        <f t="shared" si="12"/>
        <v>0</v>
      </c>
      <c r="U34" s="25">
        <f t="shared" si="12"/>
        <v>0</v>
      </c>
      <c r="V34" s="25">
        <f t="shared" si="12"/>
        <v>0</v>
      </c>
      <c r="W34" s="25">
        <f t="shared" si="12"/>
        <v>0</v>
      </c>
    </row>
    <row r="35" spans="1:23" ht="15.75">
      <c r="A35" s="26" t="s">
        <v>103</v>
      </c>
      <c r="B35" s="13">
        <f>'6.ОПУ'!B32</f>
        <v>0</v>
      </c>
      <c r="C35" s="13">
        <f>'6.ОПУ'!C32</f>
        <v>0</v>
      </c>
      <c r="D35" s="13">
        <f>'6.ОПУ'!D32</f>
        <v>0</v>
      </c>
      <c r="E35" s="13">
        <f>'6.ОПУ'!E32</f>
        <v>0</v>
      </c>
      <c r="F35" s="13">
        <f>'6.ОПУ'!F32</f>
        <v>0</v>
      </c>
      <c r="G35" s="13">
        <f>'6.ОПУ'!G32</f>
        <v>0</v>
      </c>
      <c r="H35" s="13">
        <f>'6.ОПУ'!H32</f>
        <v>0</v>
      </c>
      <c r="I35" s="13">
        <f>'6.ОПУ'!I32</f>
        <v>0</v>
      </c>
      <c r="J35" s="13">
        <f>'6.ОПУ'!J32</f>
        <v>0</v>
      </c>
      <c r="K35" s="13">
        <f>'6.ОПУ'!K32</f>
        <v>0</v>
      </c>
      <c r="L35" s="13">
        <f>'6.ОПУ'!L32</f>
        <v>0</v>
      </c>
      <c r="M35" s="13">
        <f>'6.ОПУ'!M32</f>
        <v>0</v>
      </c>
      <c r="N35" s="13">
        <f>'6.ОПУ'!N32</f>
        <v>0</v>
      </c>
      <c r="O35" s="13">
        <f>'6.ОПУ'!O32</f>
        <v>0</v>
      </c>
      <c r="P35" s="13">
        <f>'6.ОПУ'!P32</f>
        <v>0</v>
      </c>
      <c r="Q35" s="13">
        <f>'6.ОПУ'!Q32</f>
        <v>0</v>
      </c>
      <c r="R35" s="13">
        <f>'6.ОПУ'!R32</f>
        <v>0</v>
      </c>
      <c r="S35" s="13">
        <f>'6.ОПУ'!S32</f>
        <v>0</v>
      </c>
      <c r="T35" s="13">
        <f>'6.ОПУ'!T32</f>
        <v>0</v>
      </c>
      <c r="U35" s="13">
        <f>'6.ОПУ'!U32</f>
        <v>0</v>
      </c>
      <c r="V35" s="13">
        <f>'6.ОПУ'!V32</f>
        <v>0</v>
      </c>
      <c r="W35" s="13">
        <f>'6.ОПУ'!W32</f>
        <v>0</v>
      </c>
    </row>
    <row r="36" spans="1:23" ht="34.5" customHeight="1">
      <c r="A36" s="18" t="s">
        <v>119</v>
      </c>
      <c r="B36" s="27">
        <f>B31-B34</f>
        <v>0</v>
      </c>
      <c r="C36" s="27">
        <f aca="true" t="shared" si="13" ref="C36:R36">C31-C34</f>
        <v>0</v>
      </c>
      <c r="D36" s="27">
        <f t="shared" si="13"/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>O31-O34</f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>S31-S34</f>
        <v>0</v>
      </c>
      <c r="T36" s="27">
        <f>T31-T34</f>
        <v>0</v>
      </c>
      <c r="U36" s="27">
        <f>U31-U34</f>
        <v>0</v>
      </c>
      <c r="V36" s="27">
        <f>V31-V34</f>
        <v>0</v>
      </c>
      <c r="W36" s="27">
        <f>W31-W34</f>
        <v>0</v>
      </c>
    </row>
    <row r="37" spans="1:23" ht="34.5" customHeight="1">
      <c r="A37" s="18" t="s">
        <v>171</v>
      </c>
      <c r="B37" s="27">
        <f>B7+B24+B29+B36</f>
        <v>691477.0714285714</v>
      </c>
      <c r="C37" s="27">
        <f>D7</f>
        <v>1654376.9999999995</v>
      </c>
      <c r="D37" s="27">
        <f aca="true" t="shared" si="14" ref="D37:L37">E7</f>
        <v>2888699.785714285</v>
      </c>
      <c r="E37" s="27">
        <f t="shared" si="14"/>
        <v>4447519.714285713</v>
      </c>
      <c r="F37" s="27">
        <f t="shared" si="14"/>
        <v>6277762.499999998</v>
      </c>
      <c r="G37" s="27">
        <f t="shared" si="14"/>
        <v>8183725.285714284</v>
      </c>
      <c r="H37" s="27">
        <f t="shared" si="14"/>
        <v>9773488.071428569</v>
      </c>
      <c r="I37" s="27">
        <f t="shared" si="14"/>
        <v>10798273.714285713</v>
      </c>
      <c r="J37" s="27">
        <f t="shared" si="14"/>
        <v>11551636.499999998</v>
      </c>
      <c r="K37" s="27">
        <f t="shared" si="14"/>
        <v>12033576.428571425</v>
      </c>
      <c r="L37" s="27">
        <f t="shared" si="14"/>
        <v>12929053.499999996</v>
      </c>
      <c r="M37" s="27">
        <f>O7</f>
        <v>14011053.599999998</v>
      </c>
      <c r="N37" s="27">
        <f>O7</f>
        <v>14011053.599999998</v>
      </c>
      <c r="O37" s="27">
        <f>P7</f>
        <v>36459597.92914285</v>
      </c>
      <c r="P37" s="27">
        <f aca="true" t="shared" si="15" ref="P37:V37">Q7</f>
        <v>60310343.6877257</v>
      </c>
      <c r="Q37" s="27">
        <f t="shared" si="15"/>
        <v>85668926.27433734</v>
      </c>
      <c r="R37" s="27">
        <f t="shared" si="15"/>
        <v>112648525.19143835</v>
      </c>
      <c r="S37" s="27">
        <f t="shared" si="15"/>
        <v>141370395.12515154</v>
      </c>
      <c r="T37" s="27">
        <f t="shared" si="15"/>
        <v>171964434.26048803</v>
      </c>
      <c r="U37" s="27">
        <f t="shared" si="15"/>
        <v>204569792.43968675</v>
      </c>
      <c r="V37" s="27">
        <f t="shared" si="15"/>
        <v>239335521.95390582</v>
      </c>
      <c r="W37" s="27">
        <f>W7+W24+W29+W36</f>
        <v>276421273.95384616</v>
      </c>
    </row>
  </sheetData>
  <sheetProtection/>
  <printOptions/>
  <pageMargins left="0.75" right="0.75" top="0.62" bottom="0.18" header="0.5" footer="0.15"/>
  <pageSetup fitToHeight="5" fitToWidth="5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2011-10-19T04:03:06Z</cp:lastPrinted>
  <dcterms:created xsi:type="dcterms:W3CDTF">1996-10-08T23:32:33Z</dcterms:created>
  <dcterms:modified xsi:type="dcterms:W3CDTF">2012-12-17T10:31:39Z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