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50" activeTab="1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Услуги" sheetId="7" r:id="rId7"/>
    <sheet name="Пост" sheetId="8" r:id="rId8"/>
    <sheet name="ФОТ" sheetId="9" r:id="rId9"/>
    <sheet name="кр" sheetId="10" r:id="rId10"/>
    <sheet name="Инв" sheetId="11" r:id="rId11"/>
    <sheet name="безубыт" sheetId="12" r:id="rId12"/>
    <sheet name="Осн.парам.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7">#REF!</definedName>
    <definedName name="Ed." localSheetId="5">#REF!</definedName>
    <definedName name="Ed." localSheetId="6">#REF!</definedName>
    <definedName name="Ed." localSheetId="8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7">'[7]Свод'!#REF!</definedName>
    <definedName name="RUR" localSheetId="5">'[7]Свод'!#REF!</definedName>
    <definedName name="RUR" localSheetId="6">'[7]Свод'!#REF!</definedName>
    <definedName name="RUR" localSheetId="8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7">'[23]объекты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8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7">#REF!</definedName>
    <definedName name="ВалП1" localSheetId="5">#REF!</definedName>
    <definedName name="ВалП1" localSheetId="6">#REF!</definedName>
    <definedName name="ВалП1" localSheetId="8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7">'[23]объекты обществаКокшетау'!#REF!</definedName>
    <definedName name="всего_долл" localSheetId="5">'[23]объекты обществаКокшетау'!#REF!</definedName>
    <definedName name="всего_долл" localSheetId="6">'[61]объекты обществаКокшетау'!#REF!</definedName>
    <definedName name="всего_долл" localSheetId="8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7">#REF!</definedName>
    <definedName name="долл" localSheetId="5">#REF!</definedName>
    <definedName name="долл" localSheetId="6">#REF!</definedName>
    <definedName name="долл" localSheetId="8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7">#REF!</definedName>
    <definedName name="дсша" localSheetId="5">#REF!</definedName>
    <definedName name="дсша" localSheetId="6">#REF!</definedName>
    <definedName name="дсша" localSheetId="8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'Инв'!$A:$A,'Инв'!$4:$4</definedName>
    <definedName name="_xlnm.Print_Titles" localSheetId="9">'кр'!$A:$B</definedName>
    <definedName name="_xlnm.Print_Titles" localSheetId="6">'Услуги'!$A:$A</definedName>
    <definedName name="_xlnm.Print_Titles" localSheetId="8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7">#REF!</definedName>
    <definedName name="Инт" localSheetId="5">#REF!</definedName>
    <definedName name="Инт" localSheetId="6">#REF!</definedName>
    <definedName name="Инт" localSheetId="8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7">'[23]объекты обществаКокшетау'!#REF!</definedName>
    <definedName name="итого_в_долл" localSheetId="5">'[23]объекты обществаКокшетау'!#REF!</definedName>
    <definedName name="итого_в_долл" localSheetId="6">'[61]объекты обществаКокшетау'!#REF!</definedName>
    <definedName name="итого_в_долл" localSheetId="8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7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 localSheetId="8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7">#REF!</definedName>
    <definedName name="кндс" localSheetId="5">#REF!</definedName>
    <definedName name="кндс" localSheetId="6">#REF!</definedName>
    <definedName name="кндс" localSheetId="8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7">#REF!</definedName>
    <definedName name="компресс" localSheetId="5">#REF!</definedName>
    <definedName name="компресс" localSheetId="6">#REF!</definedName>
    <definedName name="компресс" localSheetId="8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7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 localSheetId="8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7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 localSheetId="8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7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 localSheetId="8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7">'[23]объекты обществаКокшетау'!#REF!</definedName>
    <definedName name="курс_НБРК" localSheetId="5">'[23]объекты обществаКокшетау'!#REF!</definedName>
    <definedName name="курс_НБРК" localSheetId="6">'[61]объекты обществаКокшетау'!#REF!</definedName>
    <definedName name="курс_НБРК" localSheetId="8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7">#REF!</definedName>
    <definedName name="Курс1" localSheetId="5">#REF!</definedName>
    <definedName name="Курс1" localSheetId="6">#REF!</definedName>
    <definedName name="Курс1" localSheetId="8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7">'[14]Финпоки1'!#REF!</definedName>
    <definedName name="Курс10" localSheetId="5">'[14]Финпоки1'!#REF!</definedName>
    <definedName name="Курс10" localSheetId="6">'[14]Финпоки1'!#REF!</definedName>
    <definedName name="Курс10" localSheetId="8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7">#REF!</definedName>
    <definedName name="металлоформы" localSheetId="5">#REF!</definedName>
    <definedName name="металлоформы" localSheetId="6">#REF!</definedName>
    <definedName name="металлоформы" localSheetId="8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8">'ФОТ'!#REF!</definedName>
    <definedName name="ндс">'Исх'!$C$19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'1-Ф3'!$A$1:$AJ$36</definedName>
    <definedName name="_xlnm.Print_Area" localSheetId="1">'2-ф2'!$A$1:$AJ$30</definedName>
    <definedName name="_xlnm.Print_Area" localSheetId="2">'3-Баланс'!$A$1:$AJ$26</definedName>
    <definedName name="_xlnm.Print_Area" localSheetId="4">'Дох'!$A$1:$E$17</definedName>
    <definedName name="_xlnm.Print_Area" localSheetId="10">'Инв'!$A$1:$AD$15</definedName>
    <definedName name="_xlnm.Print_Area" localSheetId="9">'кр'!$A$1:$DO$13</definedName>
    <definedName name="_xlnm.Print_Area" localSheetId="12">'Осн.парам.'!$A$1:$K$45</definedName>
    <definedName name="_xlnm.Print_Area" localSheetId="7">'Пост'!$A$1:$X$29</definedName>
    <definedName name="_xlnm.Print_Area" localSheetId="6">'Услуги'!$A$1:$AJ$13</definedName>
    <definedName name="_xlnm.Print_Area" localSheetId="8">'ФОТ'!$A$1:$M$30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7">'2-ф2'!#REF!</definedName>
    <definedName name="обм" localSheetId="5">'2-ф2'!#REF!</definedName>
    <definedName name="обм" localSheetId="6">'Услуги'!#REF!</definedName>
    <definedName name="обм" localSheetId="8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7">#REF!</definedName>
    <definedName name="оборудование_ЖД" localSheetId="5">#REF!</definedName>
    <definedName name="оборудование_ЖД" localSheetId="6">#REF!</definedName>
    <definedName name="оборудование_ЖД" localSheetId="8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7">#REF!</definedName>
    <definedName name="подстанция" localSheetId="5">#REF!</definedName>
    <definedName name="подстанция" localSheetId="6">#REF!</definedName>
    <definedName name="подстанция" localSheetId="8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7">#REF!</definedName>
    <definedName name="рбу" localSheetId="5">#REF!</definedName>
    <definedName name="рбу" localSheetId="6">#REF!</definedName>
    <definedName name="рбу" localSheetId="8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7">#REF!</definedName>
    <definedName name="руб" localSheetId="5">#REF!</definedName>
    <definedName name="руб" localSheetId="6">#REF!</definedName>
    <definedName name="руб" localSheetId="8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7">'2-ф2'!#REF!</definedName>
    <definedName name="себ" localSheetId="5">'2-ф2'!#REF!</definedName>
    <definedName name="себ" localSheetId="6">'Услуги'!#REF!</definedName>
    <definedName name="себ" localSheetId="8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7">#REF!</definedName>
    <definedName name="склад_продукции" localSheetId="5">#REF!</definedName>
    <definedName name="склад_продукции" localSheetId="6">#REF!</definedName>
    <definedName name="склад_продукции" localSheetId="8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7">#REF!</definedName>
    <definedName name="склад_цем" localSheetId="5">#REF!</definedName>
    <definedName name="склад_цем" localSheetId="6">#REF!</definedName>
    <definedName name="склад_цем" localSheetId="8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7">#REF!</definedName>
    <definedName name="спецодежда" localSheetId="5">#REF!</definedName>
    <definedName name="спецодежда" localSheetId="6">#REF!</definedName>
    <definedName name="спецодежда" localSheetId="8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7">#REF!</definedName>
    <definedName name="тг" localSheetId="5">#REF!</definedName>
    <definedName name="тг" localSheetId="6">#REF!</definedName>
    <definedName name="тг" localSheetId="8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7">#REF!</definedName>
    <definedName name="ТовРеал1" localSheetId="5">#REF!</definedName>
    <definedName name="ТовРеал1" localSheetId="6">#REF!</definedName>
    <definedName name="ТовРеал1" localSheetId="8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7">'[9]Дох'!#REF!</definedName>
    <definedName name="Цена_бобов" localSheetId="5">'[9]Дох'!#REF!</definedName>
    <definedName name="Цена_бобов" localSheetId="6">'[9]Дох'!#REF!</definedName>
    <definedName name="Цена_бобов" localSheetId="8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7">#REF!</definedName>
    <definedName name="цех_пби" localSheetId="5">#REF!</definedName>
    <definedName name="цех_пби" localSheetId="6">#REF!</definedName>
    <definedName name="цех_пби" localSheetId="8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<sst xmlns="http://schemas.openxmlformats.org/spreadsheetml/2006/main" count="494" uniqueCount="305">
  <si>
    <t>Итого</t>
  </si>
  <si>
    <t>Налог на имущество</t>
  </si>
  <si>
    <t xml:space="preserve">Наименование          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</si>
  <si>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</si>
  <si>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</si>
  <si>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</si>
  <si>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</si>
  <si>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</si>
  <si>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</si>
  <si>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</si>
  <si>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</si>
  <si>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</si>
  <si>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</si>
  <si>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</si>
  <si>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</si>
  <si>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</si>
  <si>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</si>
  <si>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</si>
  <si>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</si>
  <si>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</si>
  <si>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</si>
  <si>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</si>
  <si>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</si>
  <si>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</si>
  <si>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</si>
  <si>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</si>
  <si>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</si>
  <si>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</si>
  <si>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</si>
  <si>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</si>
  <si>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</si>
  <si>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</si>
  <si>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</si>
  <si>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</si>
  <si>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</si>
  <si>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</si>
  <si>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</si>
  <si>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</si>
  <si>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</si>
  <si>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</si>
  <si>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</si>
  <si>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</si>
  <si>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</si>
  <si>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</si>
  <si>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</si>
  <si>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</si>
  <si>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</si>
  <si>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</si>
  <si>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Остаток на конец отчетного периода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</si>
  <si>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</si>
  <si>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</si>
  <si>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</si>
  <si>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</si>
  <si>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</si>
  <si>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</si>
  <si>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</si>
  <si>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</si>
  <si>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</si>
  <si>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</si>
  <si>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</si>
  <si>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</si>
  <si>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</si>
  <si>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</si>
  <si>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</si>
  <si>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</si>
  <si>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</si>
  <si>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</si>
  <si>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</si>
  <si>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</si>
  <si>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</si>
  <si>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</si>
  <si>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</si>
  <si>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</si>
  <si>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</si>
  <si>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</si>
  <si>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</si>
  <si>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</si>
  <si>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</si>
  <si>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</si>
  <si>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</si>
  <si>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</si>
  <si>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</si>
  <si>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</si>
  <si>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</si>
  <si>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</si>
  <si>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</si>
  <si>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</si>
  <si>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</si>
  <si>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</si>
  <si>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</si>
  <si>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</si>
  <si>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</si>
  <si>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</si>
  <si>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</si>
  <si>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</si>
  <si>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</si>
  <si>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</si>
  <si>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</si>
  <si>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</si>
  <si>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</si>
  <si>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</si>
  <si>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</si>
  <si>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</si>
  <si>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Доход от реализации услуг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</si>
  <si>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</si>
  <si>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</si>
  <si>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</si>
  <si>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</si>
  <si>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</si>
  <si>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</si>
  <si>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</si>
  <si>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</si>
  <si>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</si>
  <si>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</si>
  <si>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Прочие долгосрочные активы</t>
  </si>
  <si>
    <t>Пассивы</t>
  </si>
  <si>
    <t>Краткосрочные обязательства</t>
  </si>
  <si>
    <t>Обязательства по кредитам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</si>
  <si>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</si>
  <si>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</si>
  <si>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</si>
  <si>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</si>
  <si>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</si>
  <si>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</si>
  <si>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</si>
  <si>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</si>
  <si>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</si>
  <si>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</si>
  <si>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</si>
  <si>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</si>
  <si>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</si>
  <si>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</si>
  <si>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</si>
  <si>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</si>
  <si>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</si>
  <si>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</si>
  <si>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</si>
  <si>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</si>
  <si>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</si>
  <si>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</si>
  <si>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</si>
  <si>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</si>
  <si>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</si>
  <si>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</si>
  <si>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</si>
  <si>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</si>
  <si>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</si>
  <si>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</si>
  <si>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</si>
  <si>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</si>
  <si>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</si>
  <si>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</si>
  <si>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</si>
  <si>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</si>
  <si>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</si>
  <si>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</si>
  <si>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</si>
  <si>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</si>
  <si>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</si>
  <si>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</si>
  <si>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</si>
  <si>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</si>
  <si>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Льготный период погашения процентов,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</si>
  <si>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</si>
  <si>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</si>
  <si>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</si>
  <si>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</si>
  <si>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</si>
  <si>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Здания и сооружения</t>
  </si>
  <si>
    <t>Наименование</t>
  </si>
  <si>
    <t>Вид налога</t>
  </si>
  <si>
    <t>Сумма, тыс.тг.</t>
  </si>
  <si>
    <t>Техника</t>
  </si>
  <si>
    <t>Срок погашения, лет</t>
  </si>
  <si>
    <t>Остаток денежных средств на начало периода</t>
  </si>
  <si>
    <t>Источник финансирования, тыс.тг.</t>
  </si>
  <si>
    <t>Ед.изм.</t>
  </si>
  <si>
    <t>Управляющий</t>
  </si>
  <si>
    <t>Доход до налогообложения</t>
  </si>
  <si>
    <t>Тип погашения основного долга</t>
  </si>
  <si>
    <t>Основные параметры проекта</t>
  </si>
  <si>
    <t>Необходимые средства</t>
  </si>
  <si>
    <t>Финансовые показатели</t>
  </si>
  <si>
    <t>Выплаты по кредитам долгосрочным</t>
  </si>
  <si>
    <t>Кредиторская задолженность</t>
  </si>
  <si>
    <t>Прочие обязательства</t>
  </si>
  <si>
    <t>Структура финансирования</t>
  </si>
  <si>
    <t>Проценты за кредит</t>
  </si>
  <si>
    <t>Поступления по кредитам</t>
  </si>
  <si>
    <t>Поступления по вкладам</t>
  </si>
  <si>
    <t>Разработка бизнес-плана</t>
  </si>
  <si>
    <t>Прочие ОС</t>
  </si>
  <si>
    <t>Приобретение ОС</t>
  </si>
  <si>
    <t>Расчет доходов</t>
  </si>
  <si>
    <t>чел.</t>
  </si>
  <si>
    <t>Примечание</t>
  </si>
  <si>
    <t>Хоз.нужды</t>
  </si>
  <si>
    <t>Прочие</t>
  </si>
  <si>
    <t>Собственные средства</t>
  </si>
  <si>
    <t>Заработная плата</t>
  </si>
  <si>
    <t>Льготный период погашения осн. долга, мес.</t>
  </si>
  <si>
    <t>Налог на прибыль</t>
  </si>
  <si>
    <t>% повышения</t>
  </si>
  <si>
    <t>Налоги и обязательные платежи от ФОТ</t>
  </si>
  <si>
    <t>Первоначальные инвестиции</t>
  </si>
  <si>
    <t>Реклама</t>
  </si>
  <si>
    <t>Налог на наружную рекламу</t>
  </si>
  <si>
    <t>Постоянные расходы в год</t>
  </si>
  <si>
    <t>от выручки</t>
  </si>
  <si>
    <t>Транш 1</t>
  </si>
  <si>
    <t>Аннуитет</t>
  </si>
  <si>
    <t>Транш 2</t>
  </si>
  <si>
    <t>Транш 3</t>
  </si>
  <si>
    <t>НК РК</t>
  </si>
  <si>
    <t>Незавершенное строительство</t>
  </si>
  <si>
    <t>аннуитет</t>
  </si>
  <si>
    <t>Чистая прибыль</t>
  </si>
  <si>
    <t>Кумулятивная чистая прибыль</t>
  </si>
  <si>
    <t>Мероприятие</t>
  </si>
  <si>
    <t>Доходы</t>
  </si>
  <si>
    <t>Расходы</t>
  </si>
  <si>
    <t>Аренда помещения</t>
  </si>
  <si>
    <t>тыс.тг./мес.</t>
  </si>
  <si>
    <t>снятие наличных, переводы</t>
  </si>
  <si>
    <t>час./мес</t>
  </si>
  <si>
    <t>3 группы * 12 часов в месяц</t>
  </si>
  <si>
    <t>тг./мес.</t>
  </si>
  <si>
    <t>Цена индивидуального занятия</t>
  </si>
  <si>
    <t>тг./занятие</t>
  </si>
  <si>
    <t>групп</t>
  </si>
  <si>
    <t>чел./мес.</t>
  </si>
  <si>
    <t>Индивидуальные занятия</t>
  </si>
  <si>
    <t>час/мес</t>
  </si>
  <si>
    <t>примерно 1 занятие в мес. на одного обучающегося</t>
  </si>
  <si>
    <t>Зар.плата от групповых занятий</t>
  </si>
  <si>
    <t>Средн. число обучающихся в 1 группе</t>
  </si>
  <si>
    <t>Статья доходов</t>
  </si>
  <si>
    <t>Цена, тг.</t>
  </si>
  <si>
    <t>в месяц</t>
  </si>
  <si>
    <t>час</t>
  </si>
  <si>
    <t>Статья расходов</t>
  </si>
  <si>
    <t>тыс.тг./на 1 гр. в мес.</t>
  </si>
  <si>
    <t>Расчет переменных расходов</t>
  </si>
  <si>
    <t>Выполнение плана (от сред.), %</t>
  </si>
  <si>
    <t>Величина налоговых поступлений за 8 лет, тыс.тг.</t>
  </si>
  <si>
    <t>Прочие налоги и сборы</t>
  </si>
  <si>
    <t>Производственная программа (среднемесячная)</t>
  </si>
  <si>
    <t>Выручка от реализации</t>
  </si>
  <si>
    <t>Рентабельность продаж</t>
  </si>
  <si>
    <t>Чистая рентабельность</t>
  </si>
  <si>
    <t>Чистый денежный поток к распределению</t>
  </si>
  <si>
    <t>Поиск помещения, проведение переговоров</t>
  </si>
  <si>
    <t>Разработка концепции заведения и фирменного стиля</t>
  </si>
  <si>
    <t>Размещение рекламы</t>
  </si>
  <si>
    <t>Набор персонала</t>
  </si>
  <si>
    <t>Объемы на первоначальном этапе</t>
  </si>
  <si>
    <t>нет необходимости вставать на учет по НДС (обороты не превышают 30 000 * 1 731 (МРП) = 51 930 тыс.тг. / 12 мес. = 4 327,5 тыс.тг. в месяц)</t>
  </si>
  <si>
    <t>Кассовый аппарат</t>
  </si>
  <si>
    <t xml:space="preserve"> </t>
  </si>
  <si>
    <t>год</t>
  </si>
  <si>
    <t>Индекс окупаемости (PI)</t>
  </si>
  <si>
    <t>метод WACC</t>
  </si>
  <si>
    <t>Снаряды (перчатки, лапы)</t>
  </si>
  <si>
    <t>Татами 12*12 м</t>
  </si>
  <si>
    <t>от оборота, упрощенный режим для ИП</t>
  </si>
  <si>
    <t>Подоходный налог, соц.налог ИП</t>
  </si>
  <si>
    <t>Каратэ</t>
  </si>
  <si>
    <t>Число групп</t>
  </si>
  <si>
    <t>Цена мес.абонемента</t>
  </si>
  <si>
    <t>Зар.плата от индив. занятий</t>
  </si>
  <si>
    <t>Нагрузка на одного тренера</t>
  </si>
  <si>
    <t>Ушу, тхэквондо</t>
  </si>
  <si>
    <t>исходя из 2 000 тг/час</t>
  </si>
  <si>
    <t>исходя из 12 часов * 2 тыс.тг./час</t>
  </si>
  <si>
    <t>Групповые занятия каратэ</t>
  </si>
  <si>
    <t>Групповые занятия ушу, тхэквондо</t>
  </si>
  <si>
    <t>Указан средний доход</t>
  </si>
  <si>
    <t>Объем оказываемых услуг</t>
  </si>
  <si>
    <t>Услуга</t>
  </si>
  <si>
    <t>спортивный зал школы</t>
  </si>
  <si>
    <t>Пополнение спортивного инвентаря</t>
  </si>
  <si>
    <t>Подоходный налог, соц.налог</t>
  </si>
  <si>
    <t>зарплата индивид.предпр-ля</t>
  </si>
  <si>
    <t>Спортивное обучение</t>
  </si>
  <si>
    <t>Показатели эффективности проекта (2 год)</t>
  </si>
  <si>
    <t>2015 год</t>
  </si>
  <si>
    <t>Мощность (от первоначального значения)</t>
  </si>
  <si>
    <t>Подготовка помещения</t>
  </si>
  <si>
    <t>Приобретение оборудования и спортивного инвентаря</t>
  </si>
  <si>
    <t>Открытие секций</t>
  </si>
  <si>
    <t>2013 год</t>
  </si>
  <si>
    <t>июн</t>
  </si>
  <si>
    <t>июл</t>
  </si>
  <si>
    <t>авг</t>
  </si>
  <si>
    <t>сен</t>
  </si>
  <si>
    <t>окт</t>
  </si>
  <si>
    <t>ноя</t>
  </si>
  <si>
    <t>дек</t>
  </si>
  <si>
    <t>Тренер каратэ</t>
  </si>
  <si>
    <t>Тренер ушу</t>
  </si>
  <si>
    <t>Тренер тхэквондо</t>
  </si>
  <si>
    <t>сдельно</t>
  </si>
  <si>
    <t>Себестоимость реализ. услуг</t>
  </si>
  <si>
    <t>Доход от реализации</t>
  </si>
  <si>
    <t>Полная себестоимость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</si>
</sst>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i/>
      <sz val="8"/>
      <color indexed="62"/>
      <name val="Arial"/>
      <family val="2"/>
    </font>
    <font>
      <i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i/>
      <sz val="8"/>
      <color theme="3" tint="0.39998000860214233"/>
      <name val="Arial"/>
      <family val="2"/>
    </font>
    <font>
      <i/>
      <sz val="8"/>
      <color theme="0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4" applyNumberFormat="1" applyFont="1" applyFill="1" applyBorder="1" applyAlignment="1">
      <alignment vertical="center" wrapText="1"/>
      <protection/>
    </xf>
    <xf numFmtId="172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72" fontId="16" fillId="0" borderId="10" xfId="70" applyNumberFormat="1" applyFont="1" applyFill="1" applyBorder="1" applyAlignment="1">
      <alignment horizontal="right" vertical="center"/>
      <protection/>
    </xf>
    <xf numFmtId="172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66" applyFont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66" applyFont="1" applyBorder="1" applyAlignment="1">
      <alignment vertical="center"/>
      <protection/>
    </xf>
    <xf numFmtId="3" fontId="5" fillId="0" borderId="0" xfId="66" applyNumberFormat="1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72" fontId="16" fillId="0" borderId="10" xfId="70" applyNumberFormat="1" applyFont="1" applyFill="1" applyBorder="1" applyAlignment="1">
      <alignment horizontal="center" vertical="top"/>
      <protection/>
    </xf>
    <xf numFmtId="172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72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72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6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94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72" fontId="5" fillId="0" borderId="0" xfId="65" applyNumberFormat="1" applyFont="1" applyFill="1" applyProtection="1">
      <alignment/>
      <protection locked="0"/>
    </xf>
    <xf numFmtId="172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72" fontId="5" fillId="0" borderId="10" xfId="69" applyNumberFormat="1" applyFont="1" applyFill="1" applyBorder="1" applyAlignment="1">
      <alignment horizontal="right" vertical="center"/>
      <protection/>
    </xf>
    <xf numFmtId="172" fontId="5" fillId="0" borderId="10" xfId="65" applyNumberFormat="1" applyFont="1" applyFill="1" applyBorder="1" applyAlignment="1" applyProtection="1">
      <alignment/>
      <protection locked="0"/>
    </xf>
    <xf numFmtId="172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72" fontId="5" fillId="39" borderId="10" xfId="65" applyNumberFormat="1" applyFont="1" applyFill="1" applyBorder="1" applyAlignment="1" applyProtection="1">
      <alignment/>
      <protection locked="0"/>
    </xf>
    <xf numFmtId="172" fontId="5" fillId="0" borderId="0" xfId="65" applyNumberFormat="1" applyFont="1" applyFill="1" applyAlignment="1" applyProtection="1">
      <alignment/>
      <protection locked="0"/>
    </xf>
    <xf numFmtId="172" fontId="66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66" applyFont="1" applyBorder="1" applyAlignment="1">
      <alignment vertical="center"/>
      <protection/>
    </xf>
    <xf numFmtId="3" fontId="5" fillId="0" borderId="10" xfId="66" applyNumberFormat="1" applyFont="1" applyFill="1" applyBorder="1" applyAlignment="1">
      <alignment horizontal="right" vertical="center"/>
      <protection/>
    </xf>
    <xf numFmtId="0" fontId="16" fillId="0" borderId="10" xfId="66" applyFont="1" applyBorder="1" applyAlignment="1">
      <alignment vertical="center"/>
      <protection/>
    </xf>
    <xf numFmtId="3" fontId="16" fillId="0" borderId="10" xfId="66" applyNumberFormat="1" applyFont="1" applyFill="1" applyBorder="1" applyAlignment="1">
      <alignment horizontal="right" vertical="center"/>
      <protection/>
    </xf>
    <xf numFmtId="0" fontId="16" fillId="2" borderId="11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9" fontId="5" fillId="0" borderId="10" xfId="66" applyNumberFormat="1" applyFont="1" applyFill="1" applyBorder="1" applyAlignment="1">
      <alignment horizontal="right" vertical="center"/>
      <protection/>
    </xf>
    <xf numFmtId="9" fontId="16" fillId="0" borderId="10" xfId="66" applyNumberFormat="1" applyFont="1" applyFill="1" applyBorder="1" applyAlignment="1">
      <alignment horizontal="right" vertical="center"/>
      <protection/>
    </xf>
    <xf numFmtId="177" fontId="5" fillId="0" borderId="10" xfId="66" applyNumberFormat="1" applyFont="1" applyFill="1" applyBorder="1" applyAlignment="1">
      <alignment horizontal="right" vertical="center"/>
      <protection/>
    </xf>
    <xf numFmtId="0" fontId="16" fillId="0" borderId="0" xfId="66" applyFont="1" applyAlignment="1">
      <alignment vertical="center"/>
      <protection/>
    </xf>
    <xf numFmtId="0" fontId="5" fillId="0" borderId="10" xfId="66" applyFont="1" applyBorder="1" applyAlignment="1">
      <alignment vertical="center" wrapText="1"/>
      <protection/>
    </xf>
    <xf numFmtId="3" fontId="5" fillId="2" borderId="10" xfId="66" applyNumberFormat="1" applyFont="1" applyFill="1" applyBorder="1" applyAlignment="1">
      <alignment horizontal="right" vertical="center"/>
      <protection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0" fontId="4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5" fillId="0" borderId="11" xfId="71" applyFont="1" applyFill="1" applyBorder="1" applyAlignment="1">
      <alignment horizontal="left" vertical="top"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vertical="center" wrapText="1"/>
    </xf>
    <xf numFmtId="9" fontId="5" fillId="0" borderId="14" xfId="71" applyNumberFormat="1" applyFont="1" applyFill="1" applyBorder="1" applyAlignment="1">
      <alignment horizontal="center" vertical="center"/>
      <protection/>
    </xf>
    <xf numFmtId="9" fontId="5" fillId="35" borderId="14" xfId="71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16" fillId="2" borderId="10" xfId="0" applyFont="1" applyFill="1" applyBorder="1" applyAlignment="1">
      <alignment wrapText="1"/>
    </xf>
    <xf numFmtId="172" fontId="67" fillId="0" borderId="0" xfId="70" applyNumberFormat="1" applyFont="1" applyFill="1" applyBorder="1" applyAlignment="1">
      <alignment horizontal="center" wrapText="1" shrinkToFit="1"/>
      <protection/>
    </xf>
    <xf numFmtId="3" fontId="68" fillId="0" borderId="0" xfId="70" applyNumberFormat="1" applyFont="1" applyFill="1" applyBorder="1">
      <alignment/>
      <protection/>
    </xf>
    <xf numFmtId="9" fontId="5" fillId="0" borderId="0" xfId="0" applyNumberFormat="1" applyFont="1" applyAlignment="1">
      <alignment/>
    </xf>
    <xf numFmtId="0" fontId="25" fillId="0" borderId="10" xfId="0" applyFont="1" applyBorder="1" applyAlignment="1">
      <alignment horizontal="justify" vertical="top" wrapText="1"/>
    </xf>
    <xf numFmtId="9" fontId="25" fillId="0" borderId="10" xfId="0" applyNumberFormat="1" applyFont="1" applyBorder="1" applyAlignment="1">
      <alignment horizontal="right" vertical="top" wrapText="1"/>
    </xf>
    <xf numFmtId="3" fontId="5" fillId="0" borderId="15" xfId="71" applyNumberFormat="1" applyFont="1" applyFill="1" applyBorder="1" applyAlignment="1">
      <alignment/>
      <protection/>
    </xf>
    <xf numFmtId="0" fontId="16" fillId="2" borderId="10" xfId="66" applyFont="1" applyFill="1" applyBorder="1" applyAlignment="1">
      <alignment vertical="center"/>
      <protection/>
    </xf>
    <xf numFmtId="3" fontId="16" fillId="2" borderId="10" xfId="66" applyNumberFormat="1" applyFont="1" applyFill="1" applyBorder="1" applyAlignment="1">
      <alignment horizontal="right" vertical="center"/>
      <protection/>
    </xf>
    <xf numFmtId="173" fontId="5" fillId="0" borderId="10" xfId="66" applyNumberFormat="1" applyFont="1" applyFill="1" applyBorder="1" applyAlignment="1">
      <alignment horizontal="righ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85" fontId="5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3" fontId="5" fillId="0" borderId="0" xfId="71" applyNumberFormat="1" applyFont="1" applyFill="1" applyBorder="1" applyAlignment="1">
      <alignment/>
      <protection/>
    </xf>
    <xf numFmtId="0" fontId="5" fillId="0" borderId="0" xfId="71" applyFont="1" applyFill="1" applyBorder="1" applyAlignment="1">
      <alignment horizontal="right"/>
      <protection/>
    </xf>
    <xf numFmtId="173" fontId="5" fillId="33" borderId="10" xfId="0" applyNumberFormat="1" applyFont="1" applyFill="1" applyBorder="1" applyAlignment="1">
      <alignment vertical="center"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16" fillId="2" borderId="10" xfId="0" applyFont="1" applyFill="1" applyBorder="1" applyAlignment="1">
      <alignment horizontal="center" wrapText="1"/>
    </xf>
    <xf numFmtId="3" fontId="5" fillId="0" borderId="0" xfId="70" applyNumberFormat="1" applyFont="1" applyFill="1" applyBorder="1">
      <alignment/>
      <protection/>
    </xf>
    <xf numFmtId="0" fontId="17" fillId="0" borderId="0" xfId="0" applyFont="1" applyAlignment="1">
      <alignment/>
    </xf>
    <xf numFmtId="3" fontId="5" fillId="35" borderId="10" xfId="0" applyNumberFormat="1" applyFont="1" applyFill="1" applyBorder="1" applyAlignment="1">
      <alignment horizontal="right"/>
    </xf>
    <xf numFmtId="173" fontId="5" fillId="0" borderId="0" xfId="0" applyNumberFormat="1" applyFont="1" applyAlignment="1">
      <alignment/>
    </xf>
    <xf numFmtId="0" fontId="17" fillId="0" borderId="10" xfId="66" applyFont="1" applyBorder="1" applyAlignment="1">
      <alignment vertical="center"/>
      <protection/>
    </xf>
    <xf numFmtId="3" fontId="17" fillId="0" borderId="10" xfId="66" applyNumberFormat="1" applyFont="1" applyFill="1" applyBorder="1" applyAlignment="1">
      <alignment horizontal="righ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" fontId="5" fillId="0" borderId="0" xfId="0" applyNumberFormat="1" applyFont="1" applyAlignment="1">
      <alignment/>
    </xf>
    <xf numFmtId="0" fontId="16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9" fontId="17" fillId="35" borderId="10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17" fillId="0" borderId="16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21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Border="1" applyAlignment="1" applyProtection="1">
      <alignment horizontal="center"/>
      <protection locked="0"/>
    </xf>
    <xf numFmtId="173" fontId="17" fillId="0" borderId="10" xfId="65" applyNumberFormat="1" applyFont="1" applyFill="1" applyBorder="1" applyProtection="1">
      <alignment/>
      <protection locked="0"/>
    </xf>
    <xf numFmtId="0" fontId="16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Protection="1">
      <alignment/>
      <protection locked="0"/>
    </xf>
    <xf numFmtId="0" fontId="17" fillId="0" borderId="10" xfId="65" applyFont="1" applyFill="1" applyBorder="1" applyProtection="1">
      <alignment/>
      <protection locked="0"/>
    </xf>
    <xf numFmtId="172" fontId="17" fillId="0" borderId="10" xfId="65" applyNumberFormat="1" applyFont="1" applyFill="1" applyBorder="1" applyAlignment="1" applyProtection="1">
      <alignment/>
      <protection locked="0"/>
    </xf>
    <xf numFmtId="0" fontId="17" fillId="0" borderId="0" xfId="66" applyFont="1">
      <alignment/>
      <protection/>
    </xf>
    <xf numFmtId="0" fontId="16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9" fontId="5" fillId="0" borderId="11" xfId="66" applyNumberFormat="1" applyFont="1" applyFill="1" applyBorder="1" applyAlignment="1">
      <alignment horizontal="center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/>
    </xf>
    <xf numFmtId="9" fontId="5" fillId="0" borderId="10" xfId="0" applyNumberFormat="1" applyFont="1" applyFill="1" applyBorder="1" applyAlignment="1">
      <alignment horizontal="right"/>
    </xf>
    <xf numFmtId="9" fontId="5" fillId="0" borderId="11" xfId="66" applyNumberFormat="1" applyFont="1" applyFill="1" applyBorder="1" applyAlignment="1">
      <alignment vertical="center"/>
      <protection/>
    </xf>
    <xf numFmtId="9" fontId="5" fillId="0" borderId="10" xfId="66" applyNumberFormat="1" applyFont="1" applyFill="1" applyBorder="1" applyAlignment="1">
      <alignment horizontal="center" vertical="center"/>
      <protection/>
    </xf>
    <xf numFmtId="3" fontId="5" fillId="0" borderId="10" xfId="66" applyNumberFormat="1" applyFont="1" applyFill="1" applyBorder="1" applyAlignment="1">
      <alignment horizontal="center" vertical="center"/>
      <protection/>
    </xf>
    <xf numFmtId="3" fontId="17" fillId="0" borderId="10" xfId="66" applyNumberFormat="1" applyFont="1" applyFill="1" applyBorder="1" applyAlignment="1">
      <alignment horizontal="center" vertical="center"/>
      <protection/>
    </xf>
    <xf numFmtId="3" fontId="5" fillId="0" borderId="0" xfId="66" applyNumberFormat="1" applyFont="1">
      <alignment/>
      <protection/>
    </xf>
    <xf numFmtId="0" fontId="5" fillId="0" borderId="13" xfId="0" applyFont="1" applyBorder="1" applyAlignment="1">
      <alignment horizontal="center" vertical="center"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 vertical="center"/>
    </xf>
    <xf numFmtId="9" fontId="5" fillId="33" borderId="10" xfId="76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5" fillId="0" borderId="10" xfId="66" applyNumberFormat="1" applyFont="1" applyFill="1" applyBorder="1" applyAlignment="1">
      <alignment horizontal="right" vertical="center"/>
      <protection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72" fontId="16" fillId="34" borderId="17" xfId="70" applyNumberFormat="1" applyFont="1" applyFill="1" applyBorder="1" applyAlignment="1">
      <alignment horizontal="center" vertical="center"/>
      <protection/>
    </xf>
    <xf numFmtId="0" fontId="16" fillId="34" borderId="17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9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9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13" xfId="71" applyFont="1" applyFill="1" applyBorder="1" applyAlignment="1">
      <alignment horizontal="left" vertical="center"/>
      <protection/>
    </xf>
    <xf numFmtId="0" fontId="5" fillId="0" borderId="14" xfId="71" applyFont="1" applyFill="1" applyBorder="1" applyAlignment="1">
      <alignment horizontal="left" vertical="center"/>
      <protection/>
    </xf>
    <xf numFmtId="0" fontId="16" fillId="34" borderId="18" xfId="71" applyFont="1" applyFill="1" applyBorder="1" applyAlignment="1">
      <alignment horizontal="center" vertical="center"/>
      <protection/>
    </xf>
    <xf numFmtId="0" fontId="16" fillId="34" borderId="19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 wrapText="1"/>
      <protection/>
    </xf>
    <xf numFmtId="0" fontId="16" fillId="34" borderId="14" xfId="7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72" fontId="16" fillId="34" borderId="11" xfId="70" applyNumberFormat="1" applyFont="1" applyFill="1" applyBorder="1" applyAlignment="1">
      <alignment horizontal="center" vertical="center" wrapText="1" shrinkToFit="1"/>
      <protection/>
    </xf>
    <xf numFmtId="172" fontId="16" fillId="34" borderId="17" xfId="70" applyNumberFormat="1" applyFont="1" applyFill="1" applyBorder="1" applyAlignment="1">
      <alignment horizontal="center" vertical="center" wrapText="1" shrinkToFit="1"/>
      <protection/>
    </xf>
    <xf numFmtId="172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16" fillId="2" borderId="13" xfId="67" applyFont="1" applyFill="1" applyBorder="1" applyAlignment="1">
      <alignment horizontal="left" vertical="center"/>
      <protection/>
    </xf>
    <xf numFmtId="0" fontId="16" fillId="2" borderId="14" xfId="67" applyFont="1" applyFill="1" applyBorder="1" applyAlignment="1">
      <alignment horizontal="lef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13" xfId="66" applyFont="1" applyBorder="1" applyAlignment="1">
      <alignment horizontal="left" vertical="center"/>
      <protection/>
    </xf>
    <xf numFmtId="0" fontId="5" fillId="0" borderId="14" xfId="66" applyFont="1" applyBorder="1" applyAlignment="1">
      <alignment horizontal="left" vertical="center"/>
      <protection/>
    </xf>
  </cellXfs>
  <cellStyles count="76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43"/>
  <sheetViews>
    <sheetView showGridLines="0" showZeros="0" zoomScalePageLayoutView="0" workbookViewId="0" topLeftCell="A1">
      <pane xSplit="3" ySplit="6" topLeftCell="I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Q29" sqref="Q29:R29"/>
    </sheetView>
  </sheetViews>
  <sheetFormatPr defaultColWidth="8.625" defaultRowHeight="12.75" outlineLevelRow="1" outlineLevelCol="1"/>
  <cols>
    <col min="1" max="1" width="38.375" style="58" customWidth="1"/>
    <col min="2" max="2" width="10.125" style="59" customWidth="1"/>
    <col min="3" max="3" width="1.875" style="59" customWidth="1"/>
    <col min="4" max="4" width="8.375" style="6" hidden="1" customWidth="1" outlineLevel="1"/>
    <col min="5" max="5" width="7.75390625" style="6" hidden="1" customWidth="1" outlineLevel="1"/>
    <col min="6" max="6" width="8.125" style="6" hidden="1" customWidth="1" outlineLevel="1"/>
    <col min="7" max="7" width="7.75390625" style="56" hidden="1" customWidth="1" outlineLevel="1"/>
    <col min="8" max="8" width="8.125" style="6" hidden="1" customWidth="1" outlineLevel="1"/>
    <col min="9" max="9" width="7.75390625" style="6" hidden="1" customWidth="1" outlineLevel="1"/>
    <col min="10" max="10" width="8.125" style="6" hidden="1" customWidth="1" outlineLevel="1"/>
    <col min="11" max="11" width="7.75390625" style="6" hidden="1" customWidth="1" outlineLevel="1"/>
    <col min="12" max="12" width="8.125" style="6" hidden="1" customWidth="1" outlineLevel="1"/>
    <col min="13" max="13" width="7.875" style="6" hidden="1" customWidth="1" outlineLevel="1"/>
    <col min="14" max="14" width="8.375" style="6" hidden="1" customWidth="1" outlineLevel="1"/>
    <col min="15" max="15" width="8.125" style="6" hidden="1" customWidth="1" outlineLevel="1"/>
    <col min="16" max="16" width="8.25390625" style="7" customWidth="1" collapsed="1"/>
    <col min="17" max="20" width="7.625" style="6" hidden="1" customWidth="1" outlineLevel="1"/>
    <col min="21" max="28" width="8.125" style="6" hidden="1" customWidth="1" outlineLevel="1"/>
    <col min="29" max="29" width="9.125" style="7" bestFit="1" customWidth="1" collapsed="1"/>
    <col min="30" max="32" width="8.125" style="7" bestFit="1" customWidth="1"/>
    <col min="33" max="35" width="8.125" style="8" bestFit="1" customWidth="1"/>
    <col min="36" max="36" width="8.625" style="8" customWidth="1"/>
    <col min="37" max="39" width="8.75390625" style="8" bestFit="1" customWidth="1"/>
    <col min="40" max="43" width="9.125" style="8" bestFit="1" customWidth="1"/>
    <col min="44" max="44" width="9.375" style="8" customWidth="1"/>
    <col min="45" max="16384" width="8.625" style="8" customWidth="1"/>
  </cols>
  <sheetData>
    <row r="1" spans="1:27" ht="12.75">
      <c r="A1" s="60" t="s">
        <v>148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MAX(K36:AF36)</f>
        <v>4446.438694343535</v>
      </c>
      <c r="B2" s="10">
        <f>MIN(I36:AH36)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45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Исх!$C$11</f>
        <v>тыс.тг.</v>
      </c>
      <c r="C4" s="1"/>
      <c r="D4" s="264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6" ht="15.75" customHeight="1">
      <c r="A5" s="311" t="s">
        <v>2</v>
      </c>
      <c r="B5" s="313" t="s">
        <v>80</v>
      </c>
      <c r="C5" s="15"/>
      <c r="D5" s="313">
        <v>2013</v>
      </c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>
        <v>2014</v>
      </c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15">
        <v>2015</v>
      </c>
      <c r="AE5" s="15">
        <f aca="true" t="shared" si="0" ref="AE5:AJ5">AD5+1</f>
        <v>2016</v>
      </c>
      <c r="AF5" s="15">
        <f t="shared" si="0"/>
        <v>2017</v>
      </c>
      <c r="AG5" s="15">
        <f t="shared" si="0"/>
        <v>2018</v>
      </c>
      <c r="AH5" s="15">
        <f t="shared" si="0"/>
        <v>2019</v>
      </c>
      <c r="AI5" s="15">
        <f t="shared" si="0"/>
        <v>2020</v>
      </c>
      <c r="AJ5" s="15">
        <f t="shared" si="0"/>
        <v>2021</v>
      </c>
    </row>
    <row r="6" spans="1:36" ht="12.75">
      <c r="A6" s="312"/>
      <c r="B6" s="313"/>
      <c r="C6" s="15"/>
      <c r="D6" s="16">
        <v>1</v>
      </c>
      <c r="E6" s="16">
        <f>D6+1</f>
        <v>2</v>
      </c>
      <c r="F6" s="16">
        <f aca="true" t="shared" si="1" ref="F6:O6">E6+1</f>
        <v>3</v>
      </c>
      <c r="G6" s="16">
        <f t="shared" si="1"/>
        <v>4</v>
      </c>
      <c r="H6" s="16">
        <f t="shared" si="1"/>
        <v>5</v>
      </c>
      <c r="I6" s="16">
        <f t="shared" si="1"/>
        <v>6</v>
      </c>
      <c r="J6" s="16">
        <f t="shared" si="1"/>
        <v>7</v>
      </c>
      <c r="K6" s="16">
        <f t="shared" si="1"/>
        <v>8</v>
      </c>
      <c r="L6" s="16">
        <f t="shared" si="1"/>
        <v>9</v>
      </c>
      <c r="M6" s="16">
        <f t="shared" si="1"/>
        <v>10</v>
      </c>
      <c r="N6" s="16">
        <f t="shared" si="1"/>
        <v>11</v>
      </c>
      <c r="O6" s="16">
        <f t="shared" si="1"/>
        <v>12</v>
      </c>
      <c r="P6" s="15" t="s">
        <v>0</v>
      </c>
      <c r="Q6" s="16">
        <v>1</v>
      </c>
      <c r="R6" s="16">
        <f>Q6+1</f>
        <v>2</v>
      </c>
      <c r="S6" s="16">
        <f aca="true" t="shared" si="2" ref="S6:AB6">R6+1</f>
        <v>3</v>
      </c>
      <c r="T6" s="16">
        <f t="shared" si="2"/>
        <v>4</v>
      </c>
      <c r="U6" s="16">
        <f t="shared" si="2"/>
        <v>5</v>
      </c>
      <c r="V6" s="16">
        <f t="shared" si="2"/>
        <v>6</v>
      </c>
      <c r="W6" s="16">
        <f t="shared" si="2"/>
        <v>7</v>
      </c>
      <c r="X6" s="16">
        <f t="shared" si="2"/>
        <v>8</v>
      </c>
      <c r="Y6" s="16">
        <f t="shared" si="2"/>
        <v>9</v>
      </c>
      <c r="Z6" s="16">
        <f t="shared" si="2"/>
        <v>10</v>
      </c>
      <c r="AA6" s="16">
        <f t="shared" si="2"/>
        <v>11</v>
      </c>
      <c r="AB6" s="16">
        <f t="shared" si="2"/>
        <v>12</v>
      </c>
      <c r="AC6" s="15" t="s">
        <v>0</v>
      </c>
      <c r="AD6" s="15" t="s">
        <v>259</v>
      </c>
      <c r="AE6" s="15" t="s">
        <v>259</v>
      </c>
      <c r="AF6" s="15" t="s">
        <v>259</v>
      </c>
      <c r="AG6" s="15" t="s">
        <v>259</v>
      </c>
      <c r="AH6" s="15" t="s">
        <v>259</v>
      </c>
      <c r="AI6" s="15" t="s">
        <v>259</v>
      </c>
      <c r="AJ6" s="15" t="s">
        <v>259</v>
      </c>
    </row>
    <row r="7" spans="1:36" s="21" customFormat="1" ht="25.5">
      <c r="A7" s="17" t="s">
        <v>174</v>
      </c>
      <c r="B7" s="18">
        <f>P7</f>
        <v>0</v>
      </c>
      <c r="C7" s="19"/>
      <c r="D7" s="20">
        <f>C36</f>
        <v>0</v>
      </c>
      <c r="E7" s="20">
        <f aca="true" t="shared" si="3" ref="E7:K7">D36</f>
        <v>0</v>
      </c>
      <c r="F7" s="20">
        <f t="shared" si="3"/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>K36</f>
        <v>0</v>
      </c>
      <c r="M7" s="20">
        <f>L36</f>
        <v>0</v>
      </c>
      <c r="N7" s="20">
        <f>M36</f>
        <v>0</v>
      </c>
      <c r="O7" s="20">
        <f>N36</f>
        <v>10.077176500000007</v>
      </c>
      <c r="P7" s="20">
        <f>D7</f>
        <v>0</v>
      </c>
      <c r="Q7" s="20">
        <f>P36</f>
        <v>38.12435300000001</v>
      </c>
      <c r="R7" s="20">
        <f aca="true" t="shared" si="4" ref="R7:AA7">Q36</f>
        <v>79.53666957500002</v>
      </c>
      <c r="S7" s="20">
        <f t="shared" si="4"/>
        <v>122.39891664006586</v>
      </c>
      <c r="T7" s="20">
        <f t="shared" si="4"/>
        <v>183.2311637051317</v>
      </c>
      <c r="U7" s="20">
        <f t="shared" si="4"/>
        <v>262.0334107701975</v>
      </c>
      <c r="V7" s="20">
        <f t="shared" si="4"/>
        <v>340.83565783526336</v>
      </c>
      <c r="W7" s="20">
        <f t="shared" si="4"/>
        <v>228.1179049003292</v>
      </c>
      <c r="X7" s="20">
        <f t="shared" si="4"/>
        <v>115.40015196539503</v>
      </c>
      <c r="Y7" s="20">
        <f t="shared" si="4"/>
        <v>2.682399030460843</v>
      </c>
      <c r="Z7" s="20">
        <f t="shared" si="4"/>
        <v>81.48464609552664</v>
      </c>
      <c r="AA7" s="20">
        <f t="shared" si="4"/>
        <v>148.2268931605925</v>
      </c>
      <c r="AB7" s="20">
        <f>AA36</f>
        <v>250.90914022565826</v>
      </c>
      <c r="AC7" s="20">
        <f>Q7</f>
        <v>38.12435300000001</v>
      </c>
      <c r="AD7" s="20">
        <f aca="true" t="shared" si="5" ref="AD7:AJ7">AC36</f>
        <v>389.53138729072407</v>
      </c>
      <c r="AE7" s="20">
        <f t="shared" si="5"/>
        <v>1348.537117016514</v>
      </c>
      <c r="AF7" s="20">
        <f t="shared" si="5"/>
        <v>2720.319938954422</v>
      </c>
      <c r="AG7" s="20">
        <f t="shared" si="5"/>
        <v>4446.438694343535</v>
      </c>
      <c r="AH7" s="20">
        <f t="shared" si="5"/>
        <v>6323.6633875021025</v>
      </c>
      <c r="AI7" s="20">
        <f t="shared" si="5"/>
        <v>8348.767315318599</v>
      </c>
      <c r="AJ7" s="20">
        <f t="shared" si="5"/>
        <v>10518.36243952592</v>
      </c>
    </row>
    <row r="8" spans="1:36" s="21" customFormat="1" ht="12.75">
      <c r="A8" s="22" t="s">
        <v>8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21" customFormat="1" ht="12.75">
      <c r="A9" s="26" t="s">
        <v>15</v>
      </c>
      <c r="B9" s="27">
        <f>SUM(B10:B12)</f>
        <v>40425</v>
      </c>
      <c r="C9" s="27"/>
      <c r="D9" s="27">
        <f aca="true" t="shared" si="6" ref="D9:AJ9">SUM(D10:D12)</f>
        <v>0</v>
      </c>
      <c r="E9" s="27">
        <f t="shared" si="6"/>
        <v>0</v>
      </c>
      <c r="F9" s="27">
        <f t="shared" si="6"/>
        <v>0</v>
      </c>
      <c r="G9" s="27">
        <f t="shared" si="6"/>
        <v>0</v>
      </c>
      <c r="H9" s="27">
        <f t="shared" si="6"/>
        <v>0</v>
      </c>
      <c r="I9" s="27">
        <f t="shared" si="6"/>
        <v>0</v>
      </c>
      <c r="J9" s="27">
        <f t="shared" si="6"/>
        <v>0</v>
      </c>
      <c r="K9" s="27">
        <f t="shared" si="6"/>
        <v>0</v>
      </c>
      <c r="L9" s="27">
        <f t="shared" si="6"/>
        <v>0</v>
      </c>
      <c r="M9" s="27">
        <f t="shared" si="6"/>
        <v>0</v>
      </c>
      <c r="N9" s="27">
        <f t="shared" si="6"/>
        <v>231</v>
      </c>
      <c r="O9" s="27">
        <f t="shared" si="6"/>
        <v>252</v>
      </c>
      <c r="P9" s="27">
        <f t="shared" si="6"/>
        <v>483</v>
      </c>
      <c r="Q9" s="27">
        <f t="shared" si="6"/>
        <v>273</v>
      </c>
      <c r="R9" s="27">
        <f t="shared" si="6"/>
        <v>294</v>
      </c>
      <c r="S9" s="27">
        <f t="shared" si="6"/>
        <v>315</v>
      </c>
      <c r="T9" s="27">
        <f t="shared" si="6"/>
        <v>336</v>
      </c>
      <c r="U9" s="27">
        <f t="shared" si="6"/>
        <v>336</v>
      </c>
      <c r="V9" s="27">
        <f t="shared" si="6"/>
        <v>0</v>
      </c>
      <c r="W9" s="27">
        <f t="shared" si="6"/>
        <v>0</v>
      </c>
      <c r="X9" s="27">
        <f t="shared" si="6"/>
        <v>0</v>
      </c>
      <c r="Y9" s="27">
        <f t="shared" si="6"/>
        <v>336</v>
      </c>
      <c r="Z9" s="27">
        <f t="shared" si="6"/>
        <v>378</v>
      </c>
      <c r="AA9" s="27">
        <f t="shared" si="6"/>
        <v>420</v>
      </c>
      <c r="AB9" s="27">
        <f t="shared" si="6"/>
        <v>462</v>
      </c>
      <c r="AC9" s="27">
        <f t="shared" si="6"/>
        <v>3150</v>
      </c>
      <c r="AD9" s="27">
        <f t="shared" si="6"/>
        <v>4284</v>
      </c>
      <c r="AE9" s="27">
        <f t="shared" si="6"/>
        <v>4788</v>
      </c>
      <c r="AF9" s="27">
        <f t="shared" si="6"/>
        <v>5040</v>
      </c>
      <c r="AG9" s="27">
        <f t="shared" si="6"/>
        <v>5292</v>
      </c>
      <c r="AH9" s="27">
        <f t="shared" si="6"/>
        <v>5544</v>
      </c>
      <c r="AI9" s="27">
        <f t="shared" si="6"/>
        <v>5796</v>
      </c>
      <c r="AJ9" s="27">
        <f t="shared" si="6"/>
        <v>6048</v>
      </c>
    </row>
    <row r="10" spans="1:36" ht="12.75">
      <c r="A10" s="28" t="str">
        <f>'2-ф2'!A6</f>
        <v>Групповые занятия каратэ</v>
      </c>
      <c r="B10" s="27">
        <f>P10+AC10+AD10+AE10+AF10+AG10+AH10+AI10+AJ10</f>
        <v>14437.5</v>
      </c>
      <c r="C10" s="27"/>
      <c r="D10" s="29">
        <f>'2-ф2'!D6*Исх!$C$20</f>
        <v>0</v>
      </c>
      <c r="E10" s="29">
        <f>'2-ф2'!E6*Исх!$C$20</f>
        <v>0</v>
      </c>
      <c r="F10" s="29">
        <f>'2-ф2'!F6*Исх!$C$20</f>
        <v>0</v>
      </c>
      <c r="G10" s="29">
        <f>'2-ф2'!G6*Исх!$C$20</f>
        <v>0</v>
      </c>
      <c r="H10" s="29">
        <f>'2-ф2'!H6*Исх!$C$20</f>
        <v>0</v>
      </c>
      <c r="I10" s="29">
        <f>'2-ф2'!I6*Исх!$C$20</f>
        <v>0</v>
      </c>
      <c r="J10" s="29">
        <f>'2-ф2'!J6*Исх!$C$20</f>
        <v>0</v>
      </c>
      <c r="K10" s="29">
        <f>'2-ф2'!K6*Исх!$C$20</f>
        <v>0</v>
      </c>
      <c r="L10" s="29">
        <f>'2-ф2'!L6*Исх!$C$20</f>
        <v>0</v>
      </c>
      <c r="M10" s="29">
        <f>'2-ф2'!M6*Исх!$C$20</f>
        <v>0</v>
      </c>
      <c r="N10" s="29">
        <f>'2-ф2'!N6*Исх!$C$20</f>
        <v>82.5</v>
      </c>
      <c r="O10" s="29">
        <f>'2-ф2'!O6*Исх!$C$20</f>
        <v>90</v>
      </c>
      <c r="P10" s="27">
        <f>SUM(D10:O10)</f>
        <v>172.5</v>
      </c>
      <c r="Q10" s="29">
        <f>'2-ф2'!Q6*Исх!$C$20</f>
        <v>97.5</v>
      </c>
      <c r="R10" s="29">
        <f>'2-ф2'!R6*Исх!$C$20</f>
        <v>105</v>
      </c>
      <c r="S10" s="29">
        <f>'2-ф2'!S6*Исх!$C$20</f>
        <v>112.5</v>
      </c>
      <c r="T10" s="29">
        <f>'2-ф2'!T6*Исх!$C$20</f>
        <v>120</v>
      </c>
      <c r="U10" s="29">
        <f>'2-ф2'!U6*Исх!$C$20</f>
        <v>120</v>
      </c>
      <c r="V10" s="29">
        <f>'2-ф2'!V6*Исх!$C$20</f>
        <v>0</v>
      </c>
      <c r="W10" s="29">
        <f>'2-ф2'!W6*Исх!$C$20</f>
        <v>0</v>
      </c>
      <c r="X10" s="29">
        <f>'2-ф2'!X6*Исх!$C$20</f>
        <v>0</v>
      </c>
      <c r="Y10" s="29">
        <f>'2-ф2'!Y6*Исх!$C$20</f>
        <v>120</v>
      </c>
      <c r="Z10" s="29">
        <f>'2-ф2'!Z6*Исх!$C$20</f>
        <v>135</v>
      </c>
      <c r="AA10" s="29">
        <f>'2-ф2'!AA6*Исх!$C$20</f>
        <v>150</v>
      </c>
      <c r="AB10" s="29">
        <f>'2-ф2'!AB6*Исх!$C$20</f>
        <v>165</v>
      </c>
      <c r="AC10" s="27">
        <f>SUM(Q10:AB10)</f>
        <v>1125</v>
      </c>
      <c r="AD10" s="29">
        <f>'2-ф2'!AD6*Исх!$C$20</f>
        <v>1530</v>
      </c>
      <c r="AE10" s="29">
        <f>'2-ф2'!AE6*Исх!$C$20</f>
        <v>1710</v>
      </c>
      <c r="AF10" s="29">
        <f>'2-ф2'!AF6*Исх!$C$20</f>
        <v>1800</v>
      </c>
      <c r="AG10" s="29">
        <f>'2-ф2'!AG6*Исх!$C$20</f>
        <v>1890</v>
      </c>
      <c r="AH10" s="29">
        <f>'2-ф2'!AH6*Исх!$C$20</f>
        <v>1980</v>
      </c>
      <c r="AI10" s="29">
        <f>'2-ф2'!AI6*Исх!$C$20</f>
        <v>2070</v>
      </c>
      <c r="AJ10" s="29">
        <f>'2-ф2'!AJ6*Исх!$C$20</f>
        <v>2160</v>
      </c>
    </row>
    <row r="11" spans="1:36" ht="12.75">
      <c r="A11" s="28" t="str">
        <f>'2-ф2'!A7</f>
        <v>Групповые занятия ушу, тхэквондо</v>
      </c>
      <c r="B11" s="27">
        <f>P11+AC11+AD11+AE11+AF11+AG11+AH11+AI11+AJ11</f>
        <v>14437.5</v>
      </c>
      <c r="C11" s="27"/>
      <c r="D11" s="29">
        <f>'2-ф2'!D7*Исх!$C$20</f>
        <v>0</v>
      </c>
      <c r="E11" s="29">
        <f>'2-ф2'!E7*Исх!$C$20</f>
        <v>0</v>
      </c>
      <c r="F11" s="29">
        <f>'2-ф2'!F7*Исх!$C$20</f>
        <v>0</v>
      </c>
      <c r="G11" s="29">
        <f>'2-ф2'!G7*Исх!$C$20</f>
        <v>0</v>
      </c>
      <c r="H11" s="29">
        <f>'2-ф2'!H7*Исх!$C$20</f>
        <v>0</v>
      </c>
      <c r="I11" s="29">
        <f>'2-ф2'!I7*Исх!$C$20</f>
        <v>0</v>
      </c>
      <c r="J11" s="29">
        <f>'2-ф2'!J7*Исх!$C$20</f>
        <v>0</v>
      </c>
      <c r="K11" s="29">
        <f>'2-ф2'!K7*Исх!$C$20</f>
        <v>0</v>
      </c>
      <c r="L11" s="29">
        <f>'2-ф2'!L7*Исх!$C$20</f>
        <v>0</v>
      </c>
      <c r="M11" s="29">
        <f>'2-ф2'!M7*Исх!$C$20</f>
        <v>0</v>
      </c>
      <c r="N11" s="29">
        <f>'2-ф2'!N7*Исх!$C$20</f>
        <v>82.5</v>
      </c>
      <c r="O11" s="29">
        <f>'2-ф2'!O7*Исх!$C$20</f>
        <v>90</v>
      </c>
      <c r="P11" s="27">
        <f>SUM(D11:O11)</f>
        <v>172.5</v>
      </c>
      <c r="Q11" s="29">
        <f>'2-ф2'!Q7*Исх!$C$20</f>
        <v>97.5</v>
      </c>
      <c r="R11" s="29">
        <f>'2-ф2'!R7*Исх!$C$20</f>
        <v>105</v>
      </c>
      <c r="S11" s="29">
        <f>'2-ф2'!S7*Исх!$C$20</f>
        <v>112.5</v>
      </c>
      <c r="T11" s="29">
        <f>'2-ф2'!T7*Исх!$C$20</f>
        <v>120</v>
      </c>
      <c r="U11" s="29">
        <f>'2-ф2'!U7*Исх!$C$20</f>
        <v>120</v>
      </c>
      <c r="V11" s="29">
        <f>'2-ф2'!V7*Исх!$C$20</f>
        <v>0</v>
      </c>
      <c r="W11" s="29">
        <f>'2-ф2'!W7*Исх!$C$20</f>
        <v>0</v>
      </c>
      <c r="X11" s="29">
        <f>'2-ф2'!X7*Исх!$C$20</f>
        <v>0</v>
      </c>
      <c r="Y11" s="29">
        <f>'2-ф2'!Y7*Исх!$C$20</f>
        <v>120</v>
      </c>
      <c r="Z11" s="29">
        <f>'2-ф2'!Z7*Исх!$C$20</f>
        <v>135</v>
      </c>
      <c r="AA11" s="29">
        <f>'2-ф2'!AA7*Исх!$C$20</f>
        <v>150</v>
      </c>
      <c r="AB11" s="29">
        <f>'2-ф2'!AB7*Исх!$C$20</f>
        <v>165</v>
      </c>
      <c r="AC11" s="27">
        <f>SUM(Q11:AB11)</f>
        <v>1125</v>
      </c>
      <c r="AD11" s="29">
        <f>'2-ф2'!AD7*Исх!$C$20</f>
        <v>1530</v>
      </c>
      <c r="AE11" s="29">
        <f>'2-ф2'!AE7*Исх!$C$20</f>
        <v>1710</v>
      </c>
      <c r="AF11" s="29">
        <f>'2-ф2'!AF7*Исх!$C$20</f>
        <v>1800</v>
      </c>
      <c r="AG11" s="29">
        <f>'2-ф2'!AG7*Исх!$C$20</f>
        <v>1890</v>
      </c>
      <c r="AH11" s="29">
        <f>'2-ф2'!AH7*Исх!$C$20</f>
        <v>1980</v>
      </c>
      <c r="AI11" s="29">
        <f>'2-ф2'!AI7*Исх!$C$20</f>
        <v>2070</v>
      </c>
      <c r="AJ11" s="29">
        <f>'2-ф2'!AJ7*Исх!$C$20</f>
        <v>2160</v>
      </c>
    </row>
    <row r="12" spans="1:36" ht="12.75">
      <c r="A12" s="28" t="str">
        <f>'2-ф2'!A8</f>
        <v>Индивидуальные занятия</v>
      </c>
      <c r="B12" s="27">
        <f>P12+AC12+AD12+AE12+AF12+AG12+AH12+AI12+AJ12</f>
        <v>11550</v>
      </c>
      <c r="C12" s="27"/>
      <c r="D12" s="29">
        <f>'2-ф2'!D8*Исх!$C$20</f>
        <v>0</v>
      </c>
      <c r="E12" s="29">
        <f>'2-ф2'!E8*Исх!$C$20</f>
        <v>0</v>
      </c>
      <c r="F12" s="29">
        <f>'2-ф2'!F8*Исх!$C$20</f>
        <v>0</v>
      </c>
      <c r="G12" s="29">
        <f>'2-ф2'!G8*Исх!$C$20</f>
        <v>0</v>
      </c>
      <c r="H12" s="29">
        <f>'2-ф2'!H8*Исх!$C$20</f>
        <v>0</v>
      </c>
      <c r="I12" s="29">
        <f>'2-ф2'!I8*Исх!$C$20</f>
        <v>0</v>
      </c>
      <c r="J12" s="29">
        <f>'2-ф2'!J8*Исх!$C$20</f>
        <v>0</v>
      </c>
      <c r="K12" s="29">
        <f>'2-ф2'!K8*Исх!$C$20</f>
        <v>0</v>
      </c>
      <c r="L12" s="29">
        <f>'2-ф2'!L8*Исх!$C$20</f>
        <v>0</v>
      </c>
      <c r="M12" s="29">
        <f>'2-ф2'!M8*Исх!$C$20</f>
        <v>0</v>
      </c>
      <c r="N12" s="29">
        <f>'2-ф2'!N8*Исх!$C$20</f>
        <v>66</v>
      </c>
      <c r="O12" s="29">
        <f>'2-ф2'!O8*Исх!$C$20</f>
        <v>72</v>
      </c>
      <c r="P12" s="27">
        <f>SUM(D12:O12)</f>
        <v>138</v>
      </c>
      <c r="Q12" s="29">
        <f>'2-ф2'!Q8*Исх!$C$20</f>
        <v>78</v>
      </c>
      <c r="R12" s="29">
        <f>'2-ф2'!R8*Исх!$C$20</f>
        <v>84</v>
      </c>
      <c r="S12" s="29">
        <f>'2-ф2'!S8*Исх!$C$20</f>
        <v>90</v>
      </c>
      <c r="T12" s="29">
        <f>'2-ф2'!T8*Исх!$C$20</f>
        <v>96</v>
      </c>
      <c r="U12" s="29">
        <f>'2-ф2'!U8*Исх!$C$20</f>
        <v>96</v>
      </c>
      <c r="V12" s="29">
        <f>'2-ф2'!V8*Исх!$C$20</f>
        <v>0</v>
      </c>
      <c r="W12" s="29">
        <f>'2-ф2'!W8*Исх!$C$20</f>
        <v>0</v>
      </c>
      <c r="X12" s="29">
        <f>'2-ф2'!X8*Исх!$C$20</f>
        <v>0</v>
      </c>
      <c r="Y12" s="29">
        <f>'2-ф2'!Y8*Исх!$C$20</f>
        <v>96</v>
      </c>
      <c r="Z12" s="29">
        <f>'2-ф2'!Z8*Исх!$C$20</f>
        <v>108</v>
      </c>
      <c r="AA12" s="29">
        <f>'2-ф2'!AA8*Исх!$C$20</f>
        <v>120</v>
      </c>
      <c r="AB12" s="29">
        <f>'2-ф2'!AB8*Исх!$C$20</f>
        <v>132</v>
      </c>
      <c r="AC12" s="27">
        <f>SUM(Q12:AB12)</f>
        <v>900</v>
      </c>
      <c r="AD12" s="29">
        <f>'2-ф2'!AD8*Исх!$C$20</f>
        <v>1224</v>
      </c>
      <c r="AE12" s="29">
        <f>'2-ф2'!AE8*Исх!$C$20</f>
        <v>1368</v>
      </c>
      <c r="AF12" s="29">
        <f>'2-ф2'!AF8*Исх!$C$20</f>
        <v>1440</v>
      </c>
      <c r="AG12" s="29">
        <f>'2-ф2'!AG8*Исх!$C$20</f>
        <v>1512</v>
      </c>
      <c r="AH12" s="29">
        <f>'2-ф2'!AH8*Исх!$C$20</f>
        <v>1584</v>
      </c>
      <c r="AI12" s="29">
        <f>'2-ф2'!AI8*Исх!$C$20</f>
        <v>1656</v>
      </c>
      <c r="AJ12" s="29">
        <f>'2-ф2'!AJ8*Исх!$C$20</f>
        <v>1728</v>
      </c>
    </row>
    <row r="13" spans="1:36" s="21" customFormat="1" ht="12.75">
      <c r="A13" s="30" t="s">
        <v>3</v>
      </c>
      <c r="B13" s="27">
        <f aca="true" t="shared" si="7" ref="B13:B18">P13+AC13+AD13+AE13+AF13+AG13+AH13+AI13+AJ13</f>
        <v>27428.858680056393</v>
      </c>
      <c r="C13" s="27"/>
      <c r="D13" s="31">
        <f aca="true" t="shared" si="8" ref="D13:AJ13">SUM(D14:D18)</f>
        <v>0</v>
      </c>
      <c r="E13" s="31">
        <f t="shared" si="8"/>
        <v>0</v>
      </c>
      <c r="F13" s="31">
        <f t="shared" si="8"/>
        <v>0</v>
      </c>
      <c r="G13" s="31">
        <f t="shared" si="8"/>
        <v>0</v>
      </c>
      <c r="H13" s="31">
        <f t="shared" si="8"/>
        <v>0</v>
      </c>
      <c r="I13" s="31">
        <f t="shared" si="8"/>
        <v>0</v>
      </c>
      <c r="J13" s="31">
        <f t="shared" si="8"/>
        <v>0</v>
      </c>
      <c r="K13" s="31">
        <f t="shared" si="8"/>
        <v>0</v>
      </c>
      <c r="L13" s="31">
        <f t="shared" si="8"/>
        <v>0</v>
      </c>
      <c r="M13" s="31">
        <f t="shared" si="8"/>
        <v>0</v>
      </c>
      <c r="N13" s="31">
        <f t="shared" si="8"/>
        <v>220.9228235</v>
      </c>
      <c r="O13" s="31">
        <f t="shared" si="8"/>
        <v>223.9528235</v>
      </c>
      <c r="P13" s="31">
        <f t="shared" si="8"/>
        <v>444.87564699999996</v>
      </c>
      <c r="Q13" s="31">
        <f t="shared" si="8"/>
        <v>231.587683425</v>
      </c>
      <c r="R13" s="31">
        <f t="shared" si="8"/>
        <v>234.61768342499997</v>
      </c>
      <c r="S13" s="31">
        <f t="shared" si="8"/>
        <v>237.5513163528587</v>
      </c>
      <c r="T13" s="31">
        <f t="shared" si="8"/>
        <v>240.48438713946328</v>
      </c>
      <c r="U13" s="31">
        <f t="shared" si="8"/>
        <v>240.38689250565636</v>
      </c>
      <c r="V13" s="31">
        <f t="shared" si="8"/>
        <v>95.80882915315223</v>
      </c>
      <c r="W13" s="31">
        <f t="shared" si="8"/>
        <v>95.71019376442517</v>
      </c>
      <c r="X13" s="31">
        <f t="shared" si="8"/>
        <v>95.61098300259721</v>
      </c>
      <c r="Y13" s="31">
        <f t="shared" si="8"/>
        <v>239.99119351132526</v>
      </c>
      <c r="Z13" s="31">
        <f t="shared" si="8"/>
        <v>293.9508219146875</v>
      </c>
      <c r="AA13" s="31">
        <f t="shared" si="8"/>
        <v>299.9098648170695</v>
      </c>
      <c r="AB13" s="31">
        <f t="shared" si="8"/>
        <v>305.8683188030485</v>
      </c>
      <c r="AC13" s="31">
        <f t="shared" si="8"/>
        <v>2611.4781678142836</v>
      </c>
      <c r="AD13" s="31">
        <f t="shared" si="8"/>
        <v>3106.7413560123355</v>
      </c>
      <c r="AE13" s="31">
        <f t="shared" si="8"/>
        <v>3222.3348902189605</v>
      </c>
      <c r="AF13" s="31">
        <f t="shared" si="8"/>
        <v>3313.8812446108877</v>
      </c>
      <c r="AG13" s="31">
        <f t="shared" si="8"/>
        <v>3414.775306841432</v>
      </c>
      <c r="AH13" s="31">
        <f t="shared" si="8"/>
        <v>3518.8960721835033</v>
      </c>
      <c r="AI13" s="31">
        <f t="shared" si="8"/>
        <v>3626.404875792679</v>
      </c>
      <c r="AJ13" s="31">
        <f t="shared" si="8"/>
        <v>4169.471119582312</v>
      </c>
    </row>
    <row r="14" spans="1:36" ht="12.75">
      <c r="A14" s="28" t="str">
        <f>'2-ф2'!A10</f>
        <v>Заработная плата</v>
      </c>
      <c r="B14" s="27">
        <f t="shared" si="7"/>
        <v>15324</v>
      </c>
      <c r="C14" s="32"/>
      <c r="D14" s="29">
        <f>'2-ф2'!D10</f>
        <v>0</v>
      </c>
      <c r="E14" s="29">
        <f>'2-ф2'!E10</f>
        <v>0</v>
      </c>
      <c r="F14" s="29">
        <f>'2-ф2'!F10</f>
        <v>0</v>
      </c>
      <c r="G14" s="29">
        <f>'2-ф2'!G10</f>
        <v>0</v>
      </c>
      <c r="H14" s="29">
        <f>'2-ф2'!H10</f>
        <v>0</v>
      </c>
      <c r="I14" s="29">
        <f>'2-ф2'!I10</f>
        <v>0</v>
      </c>
      <c r="J14" s="29">
        <f>'2-ф2'!J10</f>
        <v>0</v>
      </c>
      <c r="K14" s="29">
        <f>'2-ф2'!K10</f>
        <v>0</v>
      </c>
      <c r="L14" s="29">
        <f>'2-ф2'!L10</f>
        <v>0</v>
      </c>
      <c r="M14" s="29">
        <f>'2-ф2'!M10</f>
        <v>0</v>
      </c>
      <c r="N14" s="29">
        <f>'2-ф2'!N10</f>
        <v>122.4</v>
      </c>
      <c r="O14" s="29">
        <f>'2-ф2'!O10</f>
        <v>124.8</v>
      </c>
      <c r="P14" s="27">
        <f>SUM(D14:O14)</f>
        <v>247.2</v>
      </c>
      <c r="Q14" s="29">
        <f>'2-ф2'!Q10</f>
        <v>127.2</v>
      </c>
      <c r="R14" s="29">
        <f>'2-ф2'!R10</f>
        <v>129.6</v>
      </c>
      <c r="S14" s="29">
        <f>'2-ф2'!S10</f>
        <v>132</v>
      </c>
      <c r="T14" s="29">
        <f>'2-ф2'!T10</f>
        <v>134.4</v>
      </c>
      <c r="U14" s="29">
        <f>'2-ф2'!U10</f>
        <v>134.4</v>
      </c>
      <c r="V14" s="29">
        <f>'2-ф2'!V10</f>
        <v>0</v>
      </c>
      <c r="W14" s="29">
        <f>'2-ф2'!W10</f>
        <v>0</v>
      </c>
      <c r="X14" s="29">
        <f>'2-ф2'!X10</f>
        <v>0</v>
      </c>
      <c r="Y14" s="29">
        <f>'2-ф2'!Y10</f>
        <v>134.4</v>
      </c>
      <c r="Z14" s="29">
        <f>'2-ф2'!Z10</f>
        <v>187.2</v>
      </c>
      <c r="AA14" s="29">
        <f>'2-ф2'!AA10</f>
        <v>192</v>
      </c>
      <c r="AB14" s="29">
        <f>'2-ф2'!AB10</f>
        <v>196.8</v>
      </c>
      <c r="AC14" s="27">
        <f>SUM(Q14:AB14)</f>
        <v>1368</v>
      </c>
      <c r="AD14" s="29">
        <f>'2-ф2'!AD10</f>
        <v>1785.6</v>
      </c>
      <c r="AE14" s="29">
        <f>'2-ф2'!AE10</f>
        <v>1843.2</v>
      </c>
      <c r="AF14" s="29">
        <f>'2-ф2'!AF10</f>
        <v>1872</v>
      </c>
      <c r="AG14" s="29">
        <f>'2-ф2'!AG10</f>
        <v>1900.8000000000002</v>
      </c>
      <c r="AH14" s="29">
        <f>'2-ф2'!AH10</f>
        <v>1929.6</v>
      </c>
      <c r="AI14" s="29">
        <f>'2-ф2'!AI10</f>
        <v>1958.4</v>
      </c>
      <c r="AJ14" s="29">
        <f>'2-ф2'!AJ10</f>
        <v>2419.2</v>
      </c>
    </row>
    <row r="15" spans="1:36" ht="12.75">
      <c r="A15" s="28" t="s">
        <v>134</v>
      </c>
      <c r="B15" s="27">
        <f t="shared" si="7"/>
        <v>10820.353886228566</v>
      </c>
      <c r="C15" s="2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f>(Пост!$C$13-Пост!$C$6)*Исх!$C$20+Пост!$C$6+Пост!$C$15+Пост!$C$18</f>
        <v>88.09719849999999</v>
      </c>
      <c r="O15" s="29">
        <f>(Пост!$C$13-Пост!$C$6)*Исх!$C$20+Пост!$C$6+Пост!$C$15+Пост!$C$18</f>
        <v>88.09719849999999</v>
      </c>
      <c r="P15" s="27">
        <f>SUM(D15:O15)</f>
        <v>176.19439699999998</v>
      </c>
      <c r="Q15" s="29">
        <f>(Пост!$D$13-Пост!$D$6)*Исх!$C$20+Пост!$D$6+Пост!$D$15+Пост!$D$18</f>
        <v>92.70205842499999</v>
      </c>
      <c r="R15" s="29">
        <f>(Пост!$D$13-Пост!$D$6)*Исх!$C$20+Пост!$D$6+Пост!$D$15+Пост!$D$18</f>
        <v>92.70205842499999</v>
      </c>
      <c r="S15" s="29">
        <f>(Пост!$D$13-Пост!$D$6)*Исх!$C$20+Пост!$D$6+Пост!$D$15+Пост!$D$18</f>
        <v>92.70205842499999</v>
      </c>
      <c r="T15" s="29">
        <f>(Пост!$D$13-Пост!$D$6)*Исх!$C$20+Пост!$D$6+Пост!$D$15+Пост!$D$18</f>
        <v>92.70205842499999</v>
      </c>
      <c r="U15" s="29">
        <f>(Пост!$D$13-Пост!$D$6)*Исх!$C$20+Пост!$D$6+Пост!$D$15+Пост!$D$18</f>
        <v>92.70205842499999</v>
      </c>
      <c r="V15" s="29">
        <f>(Пост!$D$13-Пост!$D$6)*Исх!$C$20+Пост!$D$6+Пост!$D$15+Пост!$D$18</f>
        <v>92.70205842499999</v>
      </c>
      <c r="W15" s="29">
        <f>(Пост!$D$13-Пост!$D$6)*Исх!$C$20+Пост!$D$6+Пост!$D$15+Пост!$D$18</f>
        <v>92.70205842499999</v>
      </c>
      <c r="X15" s="29">
        <f>(Пост!$D$13-Пост!$D$6)*Исх!$C$20+Пост!$D$6+Пост!$D$15+Пост!$D$18</f>
        <v>92.70205842499999</v>
      </c>
      <c r="Y15" s="29">
        <f>(Пост!$D$13-Пост!$D$6)*Исх!$C$20+Пост!$D$6+Пост!$D$15+Пост!$D$18</f>
        <v>92.70205842499999</v>
      </c>
      <c r="Z15" s="29">
        <f>(Пост!$D$13-Пост!$D$6)*Исх!$C$20+Пост!$D$6+Пост!$D$15+Пост!$D$18</f>
        <v>92.70205842499999</v>
      </c>
      <c r="AA15" s="29">
        <f>(Пост!$D$13-Пост!$D$6)*Исх!$C$20+Пост!$D$6+Пост!$D$15+Пост!$D$18</f>
        <v>92.70205842499999</v>
      </c>
      <c r="AB15" s="29">
        <f>(Пост!$D$13-Пост!$D$6)*Исх!$C$20+Пост!$D$6+Пост!$D$15+Пост!$D$18</f>
        <v>92.70205842499999</v>
      </c>
      <c r="AC15" s="27">
        <f>SUM(Q15:AB15)</f>
        <v>1112.4247011</v>
      </c>
      <c r="AD15" s="29">
        <f>((Пост!E13-Пост!E6)*Исх!$C$20+Пост!E6+Пост!E15+Пост!E18)*12</f>
        <v>1170.6859361550003</v>
      </c>
      <c r="AE15" s="29">
        <f>((Пост!F13-Пост!F6)*Исх!$C$20+Пост!F6+Пост!F15+Пост!F18)*12</f>
        <v>1229.22023296275</v>
      </c>
      <c r="AF15" s="29">
        <f>((Пост!G13-Пост!G6)*Исх!$C$20+Пост!G6+Пост!G15+Пост!G18)*12</f>
        <v>1290.6812446108877</v>
      </c>
      <c r="AG15" s="29">
        <f>((Пост!H13-Пост!H6)*Исх!$C$20+Пост!H6+Пост!H15+Пост!H18)*12</f>
        <v>1355.2153068414318</v>
      </c>
      <c r="AH15" s="29">
        <f>((Пост!I13-Пост!I6)*Исх!$C$20+Пост!I6+Пост!I15+Пост!I18)*12</f>
        <v>1422.9760721835034</v>
      </c>
      <c r="AI15" s="29">
        <f>((Пост!J13-Пост!J6)*Исх!$C$20+Пост!J6+Пост!J15+Пост!J18)*12</f>
        <v>1494.1248757926787</v>
      </c>
      <c r="AJ15" s="29">
        <f>((Пост!K13-Пост!K6)*Исх!$C$20+Пост!K6+Пост!K15+Пост!K18)*12</f>
        <v>1568.8311195823128</v>
      </c>
    </row>
    <row r="16" spans="1:36" ht="12.75">
      <c r="A16" s="28" t="s">
        <v>187</v>
      </c>
      <c r="B16" s="27">
        <f t="shared" si="7"/>
        <v>71.75479382783054</v>
      </c>
      <c r="C16" s="27"/>
      <c r="D16" s="29">
        <f>кр!C11</f>
        <v>0</v>
      </c>
      <c r="E16" s="29">
        <f>кр!D11</f>
        <v>0</v>
      </c>
      <c r="F16" s="29">
        <f>кр!E11</f>
        <v>0</v>
      </c>
      <c r="G16" s="29">
        <f>кр!F11</f>
        <v>0</v>
      </c>
      <c r="H16" s="29">
        <f>кр!G11</f>
        <v>0</v>
      </c>
      <c r="I16" s="29">
        <f>кр!H11</f>
        <v>0</v>
      </c>
      <c r="J16" s="29">
        <f>кр!I11</f>
        <v>0</v>
      </c>
      <c r="K16" s="29">
        <f>кр!J11</f>
        <v>0</v>
      </c>
      <c r="L16" s="29">
        <f>кр!K11</f>
        <v>0</v>
      </c>
      <c r="M16" s="29">
        <f>кр!L11</f>
        <v>0</v>
      </c>
      <c r="N16" s="29">
        <f>кр!M11</f>
        <v>3.4956250000000004</v>
      </c>
      <c r="O16" s="29">
        <f>кр!N11</f>
        <v>3.4956250000000004</v>
      </c>
      <c r="P16" s="27">
        <f>SUM(D16:O16)</f>
        <v>6.991250000000001</v>
      </c>
      <c r="Q16" s="29">
        <f>кр!P11</f>
        <v>3.4956250000000004</v>
      </c>
      <c r="R16" s="29">
        <f>кр!Q11</f>
        <v>3.4956250000000004</v>
      </c>
      <c r="S16" s="29">
        <f>кр!R11</f>
        <v>3.399257927858718</v>
      </c>
      <c r="T16" s="29">
        <f>кр!S11</f>
        <v>3.302328714463277</v>
      </c>
      <c r="U16" s="29">
        <f>кр!T11</f>
        <v>3.2048340806563638</v>
      </c>
      <c r="V16" s="29">
        <f>кр!U11</f>
        <v>3.1067707281522434</v>
      </c>
      <c r="W16" s="29">
        <f>кр!V11</f>
        <v>3.0081353394251824</v>
      </c>
      <c r="X16" s="29">
        <f>кр!W11</f>
        <v>2.908924577597213</v>
      </c>
      <c r="Y16" s="29">
        <f>кр!X11</f>
        <v>2.8091350863252473</v>
      </c>
      <c r="Z16" s="29">
        <f>кр!Y11</f>
        <v>2.7087634896875286</v>
      </c>
      <c r="AA16" s="29">
        <f>кр!Z11</f>
        <v>2.6078063920694228</v>
      </c>
      <c r="AB16" s="29">
        <f>кр!AA11</f>
        <v>2.5062603780485446</v>
      </c>
      <c r="AC16" s="27">
        <f>SUM(Q16:AB16)</f>
        <v>36.553466714283736</v>
      </c>
      <c r="AD16" s="33">
        <f>кр!AO11</f>
        <v>21.935419857335763</v>
      </c>
      <c r="AE16" s="33">
        <f>кр!BB11</f>
        <v>6.274657256210402</v>
      </c>
      <c r="AF16" s="33">
        <f>кр!BO11</f>
        <v>1.2434497875801753E-13</v>
      </c>
      <c r="AG16" s="33">
        <f>кр!CB11</f>
        <v>1.2434497875801753E-13</v>
      </c>
      <c r="AH16" s="33">
        <f>кр!CO11</f>
        <v>1.2434497875801753E-13</v>
      </c>
      <c r="AI16" s="33">
        <f>кр!DB11</f>
        <v>1.2434497875801753E-13</v>
      </c>
      <c r="AJ16" s="33">
        <f>кр!DO11</f>
        <v>1.2434497875801753E-13</v>
      </c>
    </row>
    <row r="17" spans="1:36" ht="12.75">
      <c r="A17" s="28" t="str">
        <f>'2-ф2'!A17</f>
        <v>Подоходный налог, соц.налог</v>
      </c>
      <c r="B17" s="27">
        <f t="shared" si="7"/>
        <v>1212.75</v>
      </c>
      <c r="C17" s="27"/>
      <c r="D17" s="29">
        <f>'2-ф2'!D17</f>
        <v>0</v>
      </c>
      <c r="E17" s="29">
        <f>'2-ф2'!E17</f>
        <v>0</v>
      </c>
      <c r="F17" s="29">
        <f>'2-ф2'!F17</f>
        <v>0</v>
      </c>
      <c r="G17" s="29">
        <f>'2-ф2'!G17</f>
        <v>0</v>
      </c>
      <c r="H17" s="29">
        <f>'2-ф2'!H17</f>
        <v>0</v>
      </c>
      <c r="I17" s="29">
        <f>'2-ф2'!I17</f>
        <v>0</v>
      </c>
      <c r="J17" s="29">
        <f>'2-ф2'!J17</f>
        <v>0</v>
      </c>
      <c r="K17" s="29">
        <f>'2-ф2'!K17</f>
        <v>0</v>
      </c>
      <c r="L17" s="29">
        <f>'2-ф2'!L17</f>
        <v>0</v>
      </c>
      <c r="M17" s="29">
        <f>'2-ф2'!M17</f>
        <v>0</v>
      </c>
      <c r="N17" s="29">
        <f>'2-ф2'!N17</f>
        <v>6.93</v>
      </c>
      <c r="O17" s="29">
        <f>'2-ф2'!O17</f>
        <v>7.56</v>
      </c>
      <c r="P17" s="27">
        <f>SUM(D17:O17)</f>
        <v>14.489999999999998</v>
      </c>
      <c r="Q17" s="29">
        <f>'2-ф2'!Q17</f>
        <v>8.19</v>
      </c>
      <c r="R17" s="29">
        <f>'2-ф2'!R17</f>
        <v>8.82</v>
      </c>
      <c r="S17" s="29">
        <f>'2-ф2'!S17</f>
        <v>9.45</v>
      </c>
      <c r="T17" s="29">
        <f>'2-ф2'!T17</f>
        <v>10.08</v>
      </c>
      <c r="U17" s="29">
        <f>'2-ф2'!U17</f>
        <v>10.08</v>
      </c>
      <c r="V17" s="29">
        <f>'2-ф2'!V17</f>
        <v>0</v>
      </c>
      <c r="W17" s="29">
        <f>'2-ф2'!W17</f>
        <v>0</v>
      </c>
      <c r="X17" s="29">
        <f>'2-ф2'!X17</f>
        <v>0</v>
      </c>
      <c r="Y17" s="29">
        <f>'2-ф2'!Y17</f>
        <v>10.08</v>
      </c>
      <c r="Z17" s="29">
        <f>'2-ф2'!Z17</f>
        <v>11.34</v>
      </c>
      <c r="AA17" s="29">
        <f>'2-ф2'!AA17</f>
        <v>12.6</v>
      </c>
      <c r="AB17" s="29">
        <f>'2-ф2'!AB17</f>
        <v>13.86</v>
      </c>
      <c r="AC17" s="27">
        <f>SUM(Q17:AB17)</f>
        <v>94.49999999999999</v>
      </c>
      <c r="AD17" s="29">
        <f>'2-ф2'!AD17</f>
        <v>128.51999999999998</v>
      </c>
      <c r="AE17" s="29">
        <f>'2-ф2'!AE17</f>
        <v>143.64</v>
      </c>
      <c r="AF17" s="29">
        <f>'2-ф2'!AF17</f>
        <v>151.2</v>
      </c>
      <c r="AG17" s="29">
        <f>'2-ф2'!AG17</f>
        <v>158.76</v>
      </c>
      <c r="AH17" s="29">
        <f>'2-ф2'!AH17</f>
        <v>166.32</v>
      </c>
      <c r="AI17" s="29">
        <f>'2-ф2'!AI17</f>
        <v>173.88</v>
      </c>
      <c r="AJ17" s="29">
        <f>'2-ф2'!AJ17</f>
        <v>181.44</v>
      </c>
    </row>
    <row r="18" spans="1:36" ht="12.75">
      <c r="A18" s="28" t="s">
        <v>29</v>
      </c>
      <c r="B18" s="27">
        <f t="shared" si="7"/>
        <v>0</v>
      </c>
      <c r="C18" s="27"/>
      <c r="D18" s="29">
        <f>'2-ф2'!D30</f>
        <v>0</v>
      </c>
      <c r="E18" s="29">
        <f>'2-ф2'!E30</f>
        <v>0</v>
      </c>
      <c r="F18" s="29">
        <f>'2-ф2'!F30</f>
        <v>0</v>
      </c>
      <c r="G18" s="29">
        <f>'2-ф2'!G30</f>
        <v>0</v>
      </c>
      <c r="H18" s="29">
        <f>'2-ф2'!H30</f>
        <v>0</v>
      </c>
      <c r="I18" s="29">
        <f>'2-ф2'!I30</f>
        <v>0</v>
      </c>
      <c r="J18" s="29">
        <f>'2-ф2'!J30</f>
        <v>0</v>
      </c>
      <c r="K18" s="29">
        <f>'2-ф2'!K30</f>
        <v>0</v>
      </c>
      <c r="L18" s="29">
        <f>'2-ф2'!L30</f>
        <v>0</v>
      </c>
      <c r="M18" s="29">
        <f>'2-ф2'!M30</f>
        <v>0</v>
      </c>
      <c r="N18" s="29">
        <f>'2-ф2'!N30</f>
        <v>0</v>
      </c>
      <c r="O18" s="29">
        <f>'2-ф2'!O30</f>
        <v>0</v>
      </c>
      <c r="P18" s="27">
        <f>SUM(D18:O18)</f>
        <v>0</v>
      </c>
      <c r="Q18" s="29">
        <f>'2-ф2'!Q30</f>
        <v>0</v>
      </c>
      <c r="R18" s="29">
        <f>'2-ф2'!R30</f>
        <v>0</v>
      </c>
      <c r="S18" s="29">
        <f>'2-ф2'!S30</f>
        <v>0</v>
      </c>
      <c r="T18" s="29">
        <f>'2-ф2'!T30</f>
        <v>0</v>
      </c>
      <c r="U18" s="29">
        <f>'2-ф2'!U30</f>
        <v>0</v>
      </c>
      <c r="V18" s="29">
        <f>'2-ф2'!V30</f>
        <v>0</v>
      </c>
      <c r="W18" s="29">
        <f>'2-ф2'!W30</f>
        <v>0</v>
      </c>
      <c r="X18" s="29">
        <f>'2-ф2'!X30</f>
        <v>0</v>
      </c>
      <c r="Y18" s="29">
        <f>'2-ф2'!Y30</f>
        <v>0</v>
      </c>
      <c r="Z18" s="29">
        <f>'2-ф2'!Z30</f>
        <v>0</v>
      </c>
      <c r="AA18" s="29">
        <f>'2-ф2'!AA30</f>
        <v>0</v>
      </c>
      <c r="AB18" s="29">
        <f>'2-ф2'!AB30</f>
        <v>0</v>
      </c>
      <c r="AC18" s="27">
        <f>SUM(Q18:AB18)</f>
        <v>0</v>
      </c>
      <c r="AD18" s="29">
        <f>'2-ф2'!AD30</f>
        <v>0</v>
      </c>
      <c r="AE18" s="29">
        <f>'2-ф2'!AE30</f>
        <v>0</v>
      </c>
      <c r="AF18" s="29">
        <f>'2-ф2'!AF30</f>
        <v>0</v>
      </c>
      <c r="AG18" s="29">
        <f>'2-ф2'!AG30</f>
        <v>0</v>
      </c>
      <c r="AH18" s="29">
        <f>'2-ф2'!AH30</f>
        <v>0</v>
      </c>
      <c r="AI18" s="29">
        <f>'2-ф2'!AI30</f>
        <v>0</v>
      </c>
      <c r="AJ18" s="29">
        <f>'2-ф2'!AJ30</f>
        <v>0</v>
      </c>
    </row>
    <row r="19" spans="1:36" s="21" customFormat="1" ht="25.5">
      <c r="A19" s="34" t="s">
        <v>16</v>
      </c>
      <c r="B19" s="18">
        <f>B9-B13</f>
        <v>12996.141319943607</v>
      </c>
      <c r="C19" s="18"/>
      <c r="D19" s="18">
        <f aca="true" t="shared" si="9" ref="D19:AJ19">D9-D13</f>
        <v>0</v>
      </c>
      <c r="E19" s="18">
        <f t="shared" si="9"/>
        <v>0</v>
      </c>
      <c r="F19" s="18">
        <f t="shared" si="9"/>
        <v>0</v>
      </c>
      <c r="G19" s="18">
        <f t="shared" si="9"/>
        <v>0</v>
      </c>
      <c r="H19" s="18">
        <f t="shared" si="9"/>
        <v>0</v>
      </c>
      <c r="I19" s="18">
        <f t="shared" si="9"/>
        <v>0</v>
      </c>
      <c r="J19" s="18">
        <f t="shared" si="9"/>
        <v>0</v>
      </c>
      <c r="K19" s="18">
        <f t="shared" si="9"/>
        <v>0</v>
      </c>
      <c r="L19" s="18">
        <f t="shared" si="9"/>
        <v>0</v>
      </c>
      <c r="M19" s="18">
        <f t="shared" si="9"/>
        <v>0</v>
      </c>
      <c r="N19" s="18">
        <f t="shared" si="9"/>
        <v>10.077176500000007</v>
      </c>
      <c r="O19" s="18">
        <f t="shared" si="9"/>
        <v>28.047176500000006</v>
      </c>
      <c r="P19" s="18">
        <f t="shared" si="9"/>
        <v>38.12435300000004</v>
      </c>
      <c r="Q19" s="18">
        <f t="shared" si="9"/>
        <v>41.412316575000006</v>
      </c>
      <c r="R19" s="18">
        <f t="shared" si="9"/>
        <v>59.38231657500003</v>
      </c>
      <c r="S19" s="18">
        <f t="shared" si="9"/>
        <v>77.44868364714131</v>
      </c>
      <c r="T19" s="18">
        <f t="shared" si="9"/>
        <v>95.51561286053672</v>
      </c>
      <c r="U19" s="18">
        <f t="shared" si="9"/>
        <v>95.61310749434364</v>
      </c>
      <c r="V19" s="18">
        <f t="shared" si="9"/>
        <v>-95.80882915315223</v>
      </c>
      <c r="W19" s="18">
        <f t="shared" si="9"/>
        <v>-95.71019376442517</v>
      </c>
      <c r="X19" s="18">
        <f t="shared" si="9"/>
        <v>-95.61098300259721</v>
      </c>
      <c r="Y19" s="18">
        <f t="shared" si="9"/>
        <v>96.00880648867474</v>
      </c>
      <c r="Z19" s="18">
        <f t="shared" si="9"/>
        <v>84.04917808531252</v>
      </c>
      <c r="AA19" s="18">
        <f t="shared" si="9"/>
        <v>120.09013518293051</v>
      </c>
      <c r="AB19" s="18">
        <f t="shared" si="9"/>
        <v>156.1316811969515</v>
      </c>
      <c r="AC19" s="18">
        <f t="shared" si="9"/>
        <v>538.5218321857164</v>
      </c>
      <c r="AD19" s="18">
        <f t="shared" si="9"/>
        <v>1177.2586439876645</v>
      </c>
      <c r="AE19" s="18">
        <f t="shared" si="9"/>
        <v>1565.6651097810395</v>
      </c>
      <c r="AF19" s="18">
        <f t="shared" si="9"/>
        <v>1726.1187553891123</v>
      </c>
      <c r="AG19" s="18">
        <f t="shared" si="9"/>
        <v>1877.2246931585678</v>
      </c>
      <c r="AH19" s="18">
        <f t="shared" si="9"/>
        <v>2025.1039278164967</v>
      </c>
      <c r="AI19" s="18">
        <f t="shared" si="9"/>
        <v>2169.595124207321</v>
      </c>
      <c r="AJ19" s="18">
        <f t="shared" si="9"/>
        <v>1878.528880417688</v>
      </c>
    </row>
    <row r="20" spans="1:36" s="21" customFormat="1" ht="12.75">
      <c r="A20" s="22" t="s">
        <v>17</v>
      </c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5"/>
      <c r="AD20" s="35"/>
      <c r="AE20" s="35"/>
      <c r="AF20" s="35"/>
      <c r="AG20" s="35"/>
      <c r="AH20" s="35"/>
      <c r="AI20" s="35"/>
      <c r="AJ20" s="35"/>
    </row>
    <row r="21" spans="1:36" s="21" customFormat="1" ht="12.75">
      <c r="A21" s="26" t="s">
        <v>4</v>
      </c>
      <c r="B21" s="27"/>
      <c r="C21" s="2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7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27"/>
      <c r="AD21" s="27"/>
      <c r="AE21" s="27"/>
      <c r="AF21" s="27"/>
      <c r="AG21" s="27"/>
      <c r="AH21" s="27"/>
      <c r="AI21" s="27"/>
      <c r="AJ21" s="27"/>
    </row>
    <row r="22" spans="1:36" s="21" customFormat="1" ht="12.75">
      <c r="A22" s="26" t="s">
        <v>5</v>
      </c>
      <c r="B22" s="27">
        <f>SUM(B23:B24)</f>
        <v>705</v>
      </c>
      <c r="C22" s="27"/>
      <c r="D22" s="27">
        <f aca="true" t="shared" si="10" ref="D22:AI22">SUM(D23:D24)</f>
        <v>0</v>
      </c>
      <c r="E22" s="27">
        <f t="shared" si="10"/>
        <v>0</v>
      </c>
      <c r="F22" s="27">
        <f t="shared" si="10"/>
        <v>0</v>
      </c>
      <c r="G22" s="27">
        <f t="shared" si="10"/>
        <v>0</v>
      </c>
      <c r="H22" s="27">
        <f t="shared" si="10"/>
        <v>0</v>
      </c>
      <c r="I22" s="27">
        <f t="shared" si="10"/>
        <v>0</v>
      </c>
      <c r="J22" s="27">
        <f t="shared" si="10"/>
        <v>0</v>
      </c>
      <c r="K22" s="27">
        <f t="shared" si="10"/>
        <v>0</v>
      </c>
      <c r="L22" s="27">
        <f t="shared" si="10"/>
        <v>0</v>
      </c>
      <c r="M22" s="27">
        <f t="shared" si="10"/>
        <v>705</v>
      </c>
      <c r="N22" s="27">
        <f t="shared" si="10"/>
        <v>0</v>
      </c>
      <c r="O22" s="27">
        <f t="shared" si="10"/>
        <v>0</v>
      </c>
      <c r="P22" s="27">
        <f t="shared" si="10"/>
        <v>705</v>
      </c>
      <c r="Q22" s="27">
        <f t="shared" si="10"/>
        <v>0</v>
      </c>
      <c r="R22" s="27">
        <f t="shared" si="10"/>
        <v>0</v>
      </c>
      <c r="S22" s="27">
        <f t="shared" si="10"/>
        <v>0</v>
      </c>
      <c r="T22" s="27">
        <f t="shared" si="10"/>
        <v>0</v>
      </c>
      <c r="U22" s="27">
        <f t="shared" si="10"/>
        <v>0</v>
      </c>
      <c r="V22" s="27">
        <f t="shared" si="10"/>
        <v>0</v>
      </c>
      <c r="W22" s="27">
        <f t="shared" si="10"/>
        <v>0</v>
      </c>
      <c r="X22" s="27">
        <f t="shared" si="10"/>
        <v>0</v>
      </c>
      <c r="Y22" s="27">
        <f t="shared" si="10"/>
        <v>0</v>
      </c>
      <c r="Z22" s="27">
        <f t="shared" si="10"/>
        <v>0</v>
      </c>
      <c r="AA22" s="27">
        <f t="shared" si="10"/>
        <v>0</v>
      </c>
      <c r="AB22" s="27">
        <f t="shared" si="10"/>
        <v>0</v>
      </c>
      <c r="AC22" s="27">
        <f t="shared" si="10"/>
        <v>0</v>
      </c>
      <c r="AD22" s="27">
        <f t="shared" si="10"/>
        <v>0</v>
      </c>
      <c r="AE22" s="27">
        <f t="shared" si="10"/>
        <v>0</v>
      </c>
      <c r="AF22" s="27">
        <f t="shared" si="10"/>
        <v>0</v>
      </c>
      <c r="AG22" s="27">
        <f t="shared" si="10"/>
        <v>0</v>
      </c>
      <c r="AH22" s="27">
        <f t="shared" si="10"/>
        <v>0</v>
      </c>
      <c r="AI22" s="27">
        <f t="shared" si="10"/>
        <v>0</v>
      </c>
      <c r="AJ22" s="27">
        <f>SUM(AJ23:AJ24)</f>
        <v>0</v>
      </c>
    </row>
    <row r="23" spans="1:36" ht="12.75" outlineLevel="1">
      <c r="A23" s="37" t="s">
        <v>192</v>
      </c>
      <c r="B23" s="27">
        <f>P23+AC23+AD23+AE23+AF23+AG23+AH23+AI23+AJ23</f>
        <v>705</v>
      </c>
      <c r="C23" s="27"/>
      <c r="D23" s="29">
        <f>Инв!E15</f>
        <v>0</v>
      </c>
      <c r="E23" s="29">
        <f>Инв!F15</f>
        <v>0</v>
      </c>
      <c r="F23" s="29">
        <f>Инв!G15</f>
        <v>0</v>
      </c>
      <c r="G23" s="29">
        <f>Инв!H15</f>
        <v>0</v>
      </c>
      <c r="H23" s="29">
        <f>Инв!I15</f>
        <v>0</v>
      </c>
      <c r="I23" s="29">
        <f>Инв!J15</f>
        <v>0</v>
      </c>
      <c r="J23" s="29">
        <f>Инв!K15</f>
        <v>0</v>
      </c>
      <c r="K23" s="29">
        <f>Инв!L15</f>
        <v>0</v>
      </c>
      <c r="L23" s="29">
        <f>Инв!M15</f>
        <v>0</v>
      </c>
      <c r="M23" s="29">
        <f>Инв!N15</f>
        <v>705</v>
      </c>
      <c r="N23" s="29">
        <f>Инв!O15</f>
        <v>0</v>
      </c>
      <c r="O23" s="29">
        <f>Инв!P15</f>
        <v>0</v>
      </c>
      <c r="P23" s="27">
        <f>SUM(D23:O23)</f>
        <v>705</v>
      </c>
      <c r="Q23" s="29">
        <f>Инв!R15</f>
        <v>0</v>
      </c>
      <c r="R23" s="29">
        <f>Инв!S15</f>
        <v>0</v>
      </c>
      <c r="S23" s="29">
        <f>Инв!T15</f>
        <v>0</v>
      </c>
      <c r="T23" s="29">
        <f>Инв!U15</f>
        <v>0</v>
      </c>
      <c r="U23" s="29">
        <f>Инв!V15</f>
        <v>0</v>
      </c>
      <c r="V23" s="29">
        <f>Инв!W15</f>
        <v>0</v>
      </c>
      <c r="W23" s="29">
        <f>Инв!X15</f>
        <v>0</v>
      </c>
      <c r="X23" s="29">
        <f>Инв!Y15</f>
        <v>0</v>
      </c>
      <c r="Y23" s="29">
        <f>Инв!Z15</f>
        <v>0</v>
      </c>
      <c r="Z23" s="29">
        <f>Инв!AA15</f>
        <v>0</v>
      </c>
      <c r="AA23" s="29">
        <f>Инв!AB15</f>
        <v>0</v>
      </c>
      <c r="AB23" s="29">
        <f>Инв!AC15</f>
        <v>0</v>
      </c>
      <c r="AC23" s="27">
        <f>SUM(Q23:AB23)</f>
        <v>0</v>
      </c>
      <c r="AD23" s="27"/>
      <c r="AE23" s="27"/>
      <c r="AF23" s="27"/>
      <c r="AG23" s="27"/>
      <c r="AH23" s="27"/>
      <c r="AI23" s="27"/>
      <c r="AJ23" s="27"/>
    </row>
    <row r="24" spans="1:36" ht="12.75" outlineLevel="1">
      <c r="A24" s="37"/>
      <c r="B24" s="27">
        <f>P24+AC24+AD24+AE24+AF24+AG24+AH24+AI24</f>
        <v>0</v>
      </c>
      <c r="C24" s="27"/>
      <c r="D24" s="29"/>
      <c r="E24" s="29">
        <f>Инв!F8</f>
        <v>0</v>
      </c>
      <c r="F24" s="29">
        <f>Инв!G8</f>
        <v>0</v>
      </c>
      <c r="G24" s="29">
        <f>Инв!H8</f>
        <v>0</v>
      </c>
      <c r="H24" s="29">
        <f>Инв!I8</f>
        <v>0</v>
      </c>
      <c r="I24" s="29">
        <f>Инв!J8</f>
        <v>0</v>
      </c>
      <c r="J24" s="29">
        <f>Инв!K8</f>
        <v>0</v>
      </c>
      <c r="K24" s="29">
        <f>Инв!L8</f>
        <v>0</v>
      </c>
      <c r="L24" s="29"/>
      <c r="M24" s="29"/>
      <c r="N24" s="29">
        <f>Инв!O8</f>
        <v>0</v>
      </c>
      <c r="O24" s="29">
        <f>Инв!P8</f>
        <v>0</v>
      </c>
      <c r="P24" s="27">
        <f>SUM(D24:O24)</f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7"/>
      <c r="AD24" s="27"/>
      <c r="AE24" s="27"/>
      <c r="AF24" s="27"/>
      <c r="AG24" s="27"/>
      <c r="AH24" s="27"/>
      <c r="AI24" s="27"/>
      <c r="AJ24" s="27"/>
    </row>
    <row r="25" spans="1:36" s="21" customFormat="1" ht="25.5">
      <c r="A25" s="38" t="s">
        <v>18</v>
      </c>
      <c r="B25" s="18">
        <f>B21-B22</f>
        <v>-705</v>
      </c>
      <c r="C25" s="18"/>
      <c r="D25" s="18">
        <f>D21-D22</f>
        <v>0</v>
      </c>
      <c r="E25" s="18">
        <f aca="true" t="shared" si="11" ref="E25:AB25">E21-E22</f>
        <v>0</v>
      </c>
      <c r="F25" s="18">
        <f t="shared" si="11"/>
        <v>0</v>
      </c>
      <c r="G25" s="18">
        <f t="shared" si="11"/>
        <v>0</v>
      </c>
      <c r="H25" s="18">
        <f t="shared" si="11"/>
        <v>0</v>
      </c>
      <c r="I25" s="18">
        <f t="shared" si="11"/>
        <v>0</v>
      </c>
      <c r="J25" s="18">
        <f>J21-J22</f>
        <v>0</v>
      </c>
      <c r="K25" s="18">
        <f t="shared" si="11"/>
        <v>0</v>
      </c>
      <c r="L25" s="18">
        <f t="shared" si="11"/>
        <v>0</v>
      </c>
      <c r="M25" s="18">
        <f t="shared" si="11"/>
        <v>-705</v>
      </c>
      <c r="N25" s="18">
        <f t="shared" si="11"/>
        <v>0</v>
      </c>
      <c r="O25" s="18">
        <f t="shared" si="11"/>
        <v>0</v>
      </c>
      <c r="P25" s="18">
        <f>SUM(D25:O25)</f>
        <v>-705</v>
      </c>
      <c r="Q25" s="18">
        <f t="shared" si="11"/>
        <v>0</v>
      </c>
      <c r="R25" s="18">
        <f t="shared" si="11"/>
        <v>0</v>
      </c>
      <c r="S25" s="18">
        <f t="shared" si="11"/>
        <v>0</v>
      </c>
      <c r="T25" s="18">
        <f t="shared" si="11"/>
        <v>0</v>
      </c>
      <c r="U25" s="18">
        <f t="shared" si="11"/>
        <v>0</v>
      </c>
      <c r="V25" s="18">
        <f t="shared" si="11"/>
        <v>0</v>
      </c>
      <c r="W25" s="18">
        <f t="shared" si="11"/>
        <v>0</v>
      </c>
      <c r="X25" s="18">
        <f t="shared" si="11"/>
        <v>0</v>
      </c>
      <c r="Y25" s="18">
        <f t="shared" si="11"/>
        <v>0</v>
      </c>
      <c r="Z25" s="18">
        <f t="shared" si="11"/>
        <v>0</v>
      </c>
      <c r="AA25" s="18">
        <f t="shared" si="11"/>
        <v>0</v>
      </c>
      <c r="AB25" s="18">
        <f t="shared" si="11"/>
        <v>0</v>
      </c>
      <c r="AC25" s="18">
        <f>SUM(Q25:AB25)</f>
        <v>0</v>
      </c>
      <c r="AD25" s="18"/>
      <c r="AE25" s="18"/>
      <c r="AF25" s="18"/>
      <c r="AG25" s="18"/>
      <c r="AH25" s="18"/>
      <c r="AI25" s="18"/>
      <c r="AJ25" s="18"/>
    </row>
    <row r="26" spans="1:36" s="42" customFormat="1" ht="12.75">
      <c r="A26" s="39" t="s">
        <v>19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  <c r="AD26" s="41"/>
      <c r="AE26" s="41"/>
      <c r="AF26" s="41"/>
      <c r="AG26" s="41"/>
      <c r="AH26" s="41"/>
      <c r="AI26" s="41"/>
      <c r="AJ26" s="41"/>
    </row>
    <row r="27" spans="1:36" s="21" customFormat="1" ht="12.75">
      <c r="A27" s="22" t="s">
        <v>20</v>
      </c>
      <c r="B27" s="23"/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35"/>
      <c r="AD27" s="35"/>
      <c r="AE27" s="35"/>
      <c r="AF27" s="35"/>
      <c r="AG27" s="35"/>
      <c r="AH27" s="35"/>
      <c r="AI27" s="35"/>
      <c r="AJ27" s="35"/>
    </row>
    <row r="28" spans="1:36" s="21" customFormat="1" ht="12.75">
      <c r="A28" s="26" t="s">
        <v>4</v>
      </c>
      <c r="B28" s="27">
        <f>SUM(B29:B30)</f>
        <v>705</v>
      </c>
      <c r="C28" s="27"/>
      <c r="D28" s="27">
        <f aca="true" t="shared" si="12" ref="D28:AI28">SUM(D29:D30)</f>
        <v>0</v>
      </c>
      <c r="E28" s="27">
        <f t="shared" si="12"/>
        <v>0</v>
      </c>
      <c r="F28" s="27">
        <f t="shared" si="12"/>
        <v>0</v>
      </c>
      <c r="G28" s="27">
        <f t="shared" si="12"/>
        <v>0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7">
        <f t="shared" si="12"/>
        <v>0</v>
      </c>
      <c r="M28" s="27">
        <f t="shared" si="12"/>
        <v>705</v>
      </c>
      <c r="N28" s="27">
        <f t="shared" si="12"/>
        <v>0</v>
      </c>
      <c r="O28" s="27">
        <f t="shared" si="12"/>
        <v>0</v>
      </c>
      <c r="P28" s="27">
        <f t="shared" si="12"/>
        <v>705</v>
      </c>
      <c r="Q28" s="27">
        <f t="shared" si="12"/>
        <v>0</v>
      </c>
      <c r="R28" s="27">
        <f t="shared" si="12"/>
        <v>0</v>
      </c>
      <c r="S28" s="27">
        <f t="shared" si="12"/>
        <v>0</v>
      </c>
      <c r="T28" s="27">
        <f t="shared" si="12"/>
        <v>0</v>
      </c>
      <c r="U28" s="27">
        <f t="shared" si="12"/>
        <v>0</v>
      </c>
      <c r="V28" s="27">
        <f t="shared" si="12"/>
        <v>0</v>
      </c>
      <c r="W28" s="27">
        <f t="shared" si="12"/>
        <v>0</v>
      </c>
      <c r="X28" s="27">
        <f t="shared" si="12"/>
        <v>0</v>
      </c>
      <c r="Y28" s="27">
        <f t="shared" si="12"/>
        <v>0</v>
      </c>
      <c r="Z28" s="27">
        <f t="shared" si="12"/>
        <v>0</v>
      </c>
      <c r="AA28" s="27">
        <f t="shared" si="12"/>
        <v>0</v>
      </c>
      <c r="AB28" s="27">
        <f t="shared" si="12"/>
        <v>0</v>
      </c>
      <c r="AC28" s="27">
        <f t="shared" si="12"/>
        <v>0</v>
      </c>
      <c r="AD28" s="27">
        <f t="shared" si="12"/>
        <v>0</v>
      </c>
      <c r="AE28" s="27">
        <f t="shared" si="12"/>
        <v>0</v>
      </c>
      <c r="AF28" s="27">
        <f t="shared" si="12"/>
        <v>0</v>
      </c>
      <c r="AG28" s="27">
        <f t="shared" si="12"/>
        <v>0</v>
      </c>
      <c r="AH28" s="27">
        <f t="shared" si="12"/>
        <v>0</v>
      </c>
      <c r="AI28" s="27">
        <f t="shared" si="12"/>
        <v>0</v>
      </c>
      <c r="AJ28" s="27">
        <f>SUM(AJ29:AJ30)</f>
        <v>0</v>
      </c>
    </row>
    <row r="29" spans="1:36" ht="12.75" customHeight="1">
      <c r="A29" s="37" t="s">
        <v>189</v>
      </c>
      <c r="B29" s="27">
        <f>P29+AC29+AD29+AE29+AF29+AG29+AH29+AI29+AJ29</f>
        <v>105.75</v>
      </c>
      <c r="C29" s="27"/>
      <c r="D29" s="29">
        <f>D23</f>
        <v>0</v>
      </c>
      <c r="E29" s="29"/>
      <c r="F29" s="29"/>
      <c r="G29" s="29"/>
      <c r="H29" s="29"/>
      <c r="I29" s="29"/>
      <c r="J29" s="29">
        <f>J23</f>
        <v>0</v>
      </c>
      <c r="K29" s="29">
        <f>K23*0.15</f>
        <v>0</v>
      </c>
      <c r="L29" s="29">
        <f>L23*0.15</f>
        <v>0</v>
      </c>
      <c r="M29" s="29">
        <f>M22*0.15</f>
        <v>105.75</v>
      </c>
      <c r="N29" s="29"/>
      <c r="O29" s="29"/>
      <c r="P29" s="27">
        <f>SUM(D29:O29)</f>
        <v>105.75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7">
        <f>SUM(Q29:AB29)</f>
        <v>0</v>
      </c>
      <c r="AD29" s="27"/>
      <c r="AE29" s="27"/>
      <c r="AF29" s="27"/>
      <c r="AG29" s="27"/>
      <c r="AH29" s="27"/>
      <c r="AI29" s="27"/>
      <c r="AJ29" s="27"/>
    </row>
    <row r="30" spans="1:36" ht="12.75">
      <c r="A30" s="43" t="s">
        <v>188</v>
      </c>
      <c r="B30" s="27">
        <f>P30+AC30+AD30+AE30+AF30+AG30+AH30+AI30+AJ30</f>
        <v>599.25</v>
      </c>
      <c r="C30" s="27"/>
      <c r="D30" s="44"/>
      <c r="E30" s="44"/>
      <c r="F30" s="44"/>
      <c r="G30" s="44"/>
      <c r="H30" s="44"/>
      <c r="I30" s="44"/>
      <c r="J30" s="44"/>
      <c r="K30" s="44">
        <f>K23-K29</f>
        <v>0</v>
      </c>
      <c r="L30" s="44">
        <f>L23-L29</f>
        <v>0</v>
      </c>
      <c r="M30" s="44">
        <f>M22-M29</f>
        <v>599.25</v>
      </c>
      <c r="N30" s="44"/>
      <c r="O30" s="44"/>
      <c r="P30" s="27">
        <f>SUM(D30:O30)</f>
        <v>599.25</v>
      </c>
      <c r="Q30" s="44"/>
      <c r="R30" s="44"/>
      <c r="S30" s="44">
        <f>S22+T22+U22</f>
        <v>0</v>
      </c>
      <c r="T30" s="44"/>
      <c r="U30" s="44"/>
      <c r="V30" s="44">
        <f>V22</f>
        <v>0</v>
      </c>
      <c r="W30" s="44"/>
      <c r="X30" s="44"/>
      <c r="Y30" s="44"/>
      <c r="Z30" s="44"/>
      <c r="AA30" s="44"/>
      <c r="AB30" s="44"/>
      <c r="AC30" s="27">
        <f>SUM(Q30:AB30)</f>
        <v>0</v>
      </c>
      <c r="AD30" s="27"/>
      <c r="AE30" s="27"/>
      <c r="AF30" s="27"/>
      <c r="AG30" s="27"/>
      <c r="AH30" s="27"/>
      <c r="AI30" s="27"/>
      <c r="AJ30" s="27"/>
    </row>
    <row r="31" spans="1:36" s="21" customFormat="1" ht="12.75">
      <c r="A31" s="26" t="s">
        <v>5</v>
      </c>
      <c r="B31" s="27">
        <f>SUM(B32:B33)</f>
        <v>599.2499999999983</v>
      </c>
      <c r="C31" s="27"/>
      <c r="D31" s="27">
        <f aca="true" t="shared" si="13" ref="D31:AI31">SUM(D32:D33)</f>
        <v>0</v>
      </c>
      <c r="E31" s="27">
        <f t="shared" si="13"/>
        <v>0</v>
      </c>
      <c r="F31" s="27">
        <f t="shared" si="13"/>
        <v>0</v>
      </c>
      <c r="G31" s="27">
        <f t="shared" si="13"/>
        <v>0</v>
      </c>
      <c r="H31" s="27">
        <f t="shared" si="13"/>
        <v>0</v>
      </c>
      <c r="I31" s="27">
        <f t="shared" si="13"/>
        <v>0</v>
      </c>
      <c r="J31" s="27">
        <f t="shared" si="13"/>
        <v>0</v>
      </c>
      <c r="K31" s="27">
        <f t="shared" si="13"/>
        <v>0</v>
      </c>
      <c r="L31" s="27">
        <f t="shared" si="13"/>
        <v>0</v>
      </c>
      <c r="M31" s="27">
        <f t="shared" si="13"/>
        <v>0</v>
      </c>
      <c r="N31" s="27">
        <f t="shared" si="13"/>
        <v>0</v>
      </c>
      <c r="O31" s="27">
        <f t="shared" si="13"/>
        <v>0</v>
      </c>
      <c r="P31" s="27">
        <f t="shared" si="13"/>
        <v>0</v>
      </c>
      <c r="Q31" s="27">
        <f t="shared" si="13"/>
        <v>0</v>
      </c>
      <c r="R31" s="27">
        <f t="shared" si="13"/>
        <v>16.520069509934185</v>
      </c>
      <c r="S31" s="27">
        <f t="shared" si="13"/>
        <v>16.61643658207547</v>
      </c>
      <c r="T31" s="27">
        <f t="shared" si="13"/>
        <v>16.713365795470907</v>
      </c>
      <c r="U31" s="27">
        <f t="shared" si="13"/>
        <v>16.81086042927782</v>
      </c>
      <c r="V31" s="27">
        <f t="shared" si="13"/>
        <v>16.908923781781944</v>
      </c>
      <c r="W31" s="27">
        <f t="shared" si="13"/>
        <v>17.007559170509005</v>
      </c>
      <c r="X31" s="27">
        <f t="shared" si="13"/>
        <v>17.106769932336974</v>
      </c>
      <c r="Y31" s="27">
        <f t="shared" si="13"/>
        <v>17.206559423608937</v>
      </c>
      <c r="Z31" s="27">
        <f t="shared" si="13"/>
        <v>17.306931020246658</v>
      </c>
      <c r="AA31" s="27">
        <f t="shared" si="13"/>
        <v>17.40788811786476</v>
      </c>
      <c r="AB31" s="27">
        <f t="shared" si="13"/>
        <v>17.50943413188564</v>
      </c>
      <c r="AC31" s="27">
        <f t="shared" si="13"/>
        <v>187.1147978949923</v>
      </c>
      <c r="AD31" s="27">
        <f t="shared" si="13"/>
        <v>218.25291426187448</v>
      </c>
      <c r="AE31" s="27">
        <f t="shared" si="13"/>
        <v>193.8822878431315</v>
      </c>
      <c r="AF31" s="27">
        <f t="shared" si="13"/>
        <v>0</v>
      </c>
      <c r="AG31" s="27">
        <f t="shared" si="13"/>
        <v>0</v>
      </c>
      <c r="AH31" s="27">
        <f t="shared" si="13"/>
        <v>0</v>
      </c>
      <c r="AI31" s="27">
        <f t="shared" si="13"/>
        <v>0</v>
      </c>
      <c r="AJ31" s="27">
        <f>SUM(AJ32:AJ33)</f>
        <v>0</v>
      </c>
    </row>
    <row r="32" spans="1:36" ht="12.75">
      <c r="A32" s="28" t="s">
        <v>28</v>
      </c>
      <c r="B32" s="27">
        <f>P32+AC32+AD32+AE32+AF32+AG32+AH32+AI32+AJ32</f>
        <v>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27">
        <f>SUM(D32:O32)</f>
        <v>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27">
        <f>SUM(Q32:AB32)</f>
        <v>0</v>
      </c>
      <c r="AD32" s="27"/>
      <c r="AE32" s="27"/>
      <c r="AF32" s="27"/>
      <c r="AG32" s="27"/>
      <c r="AH32" s="27"/>
      <c r="AI32" s="27"/>
      <c r="AJ32" s="27"/>
    </row>
    <row r="33" spans="1:36" ht="13.5" customHeight="1">
      <c r="A33" s="37" t="s">
        <v>183</v>
      </c>
      <c r="B33" s="27">
        <f>P33+AC33+AD33+AE33+AF33+AG33+AH33+AI33+AJ33</f>
        <v>599.2499999999983</v>
      </c>
      <c r="C33" s="27"/>
      <c r="D33" s="33">
        <f>кр!C10</f>
        <v>0</v>
      </c>
      <c r="E33" s="33">
        <f>кр!D10</f>
        <v>0</v>
      </c>
      <c r="F33" s="33">
        <f>кр!E10</f>
        <v>0</v>
      </c>
      <c r="G33" s="33">
        <f>кр!F10</f>
        <v>0</v>
      </c>
      <c r="H33" s="33">
        <f>кр!G10</f>
        <v>0</v>
      </c>
      <c r="I33" s="33">
        <f>кр!H10</f>
        <v>0</v>
      </c>
      <c r="J33" s="33">
        <f>кр!I10</f>
        <v>0</v>
      </c>
      <c r="K33" s="33">
        <f>кр!J10</f>
        <v>0</v>
      </c>
      <c r="L33" s="33">
        <f>кр!K10</f>
        <v>0</v>
      </c>
      <c r="M33" s="33">
        <f>кр!L10</f>
        <v>0</v>
      </c>
      <c r="N33" s="33">
        <f>кр!M10</f>
        <v>0</v>
      </c>
      <c r="O33" s="33">
        <f>кр!N10</f>
        <v>0</v>
      </c>
      <c r="P33" s="27">
        <f>SUM(D33:O33)</f>
        <v>0</v>
      </c>
      <c r="Q33" s="33">
        <f>кр!P10</f>
        <v>0</v>
      </c>
      <c r="R33" s="33">
        <f>кр!Q10</f>
        <v>16.520069509934185</v>
      </c>
      <c r="S33" s="33">
        <f>кр!R10</f>
        <v>16.61643658207547</v>
      </c>
      <c r="T33" s="33">
        <f>кр!S10</f>
        <v>16.713365795470907</v>
      </c>
      <c r="U33" s="33">
        <f>кр!T10</f>
        <v>16.81086042927782</v>
      </c>
      <c r="V33" s="33">
        <f>кр!U10</f>
        <v>16.908923781781944</v>
      </c>
      <c r="W33" s="33">
        <f>кр!V10</f>
        <v>17.007559170509005</v>
      </c>
      <c r="X33" s="33">
        <f>кр!W10</f>
        <v>17.106769932336974</v>
      </c>
      <c r="Y33" s="33">
        <f>кр!X10</f>
        <v>17.206559423608937</v>
      </c>
      <c r="Z33" s="33">
        <f>кр!Y10</f>
        <v>17.306931020246658</v>
      </c>
      <c r="AA33" s="33">
        <f>кр!Z10</f>
        <v>17.40788811786476</v>
      </c>
      <c r="AB33" s="33">
        <f>кр!AA10</f>
        <v>17.50943413188564</v>
      </c>
      <c r="AC33" s="27">
        <f>SUM(Q33:AB33)</f>
        <v>187.1147978949923</v>
      </c>
      <c r="AD33" s="33">
        <f>кр!AO10</f>
        <v>218.25291426187448</v>
      </c>
      <c r="AE33" s="33">
        <f>кр!BB10</f>
        <v>193.8822878431315</v>
      </c>
      <c r="AF33" s="33">
        <f>кр!BO10</f>
        <v>0</v>
      </c>
      <c r="AG33" s="33">
        <f>кр!CB10</f>
        <v>0</v>
      </c>
      <c r="AH33" s="33">
        <f>кр!CO10</f>
        <v>0</v>
      </c>
      <c r="AI33" s="33">
        <f>кр!DB10</f>
        <v>0</v>
      </c>
      <c r="AJ33" s="33">
        <f>кр!DO10</f>
        <v>0</v>
      </c>
    </row>
    <row r="34" spans="1:36" s="21" customFormat="1" ht="12.75">
      <c r="A34" s="38" t="s">
        <v>21</v>
      </c>
      <c r="B34" s="18">
        <f>B28-B31</f>
        <v>105.7500000000017</v>
      </c>
      <c r="C34" s="18"/>
      <c r="D34" s="18">
        <f aca="true" t="shared" si="14" ref="D34:AI34">D28-D31</f>
        <v>0</v>
      </c>
      <c r="E34" s="18">
        <f t="shared" si="14"/>
        <v>0</v>
      </c>
      <c r="F34" s="18">
        <f t="shared" si="14"/>
        <v>0</v>
      </c>
      <c r="G34" s="18">
        <f t="shared" si="14"/>
        <v>0</v>
      </c>
      <c r="H34" s="18">
        <f t="shared" si="14"/>
        <v>0</v>
      </c>
      <c r="I34" s="18">
        <f t="shared" si="14"/>
        <v>0</v>
      </c>
      <c r="J34" s="18">
        <f t="shared" si="14"/>
        <v>0</v>
      </c>
      <c r="K34" s="18">
        <f t="shared" si="14"/>
        <v>0</v>
      </c>
      <c r="L34" s="18">
        <f t="shared" si="14"/>
        <v>0</v>
      </c>
      <c r="M34" s="18">
        <f t="shared" si="14"/>
        <v>705</v>
      </c>
      <c r="N34" s="18">
        <f t="shared" si="14"/>
        <v>0</v>
      </c>
      <c r="O34" s="18">
        <f t="shared" si="14"/>
        <v>0</v>
      </c>
      <c r="P34" s="18">
        <f t="shared" si="14"/>
        <v>705</v>
      </c>
      <c r="Q34" s="18">
        <f t="shared" si="14"/>
        <v>0</v>
      </c>
      <c r="R34" s="18">
        <f t="shared" si="14"/>
        <v>-16.520069509934185</v>
      </c>
      <c r="S34" s="18">
        <f t="shared" si="14"/>
        <v>-16.61643658207547</v>
      </c>
      <c r="T34" s="18">
        <f t="shared" si="14"/>
        <v>-16.713365795470907</v>
      </c>
      <c r="U34" s="18">
        <f t="shared" si="14"/>
        <v>-16.81086042927782</v>
      </c>
      <c r="V34" s="18">
        <f t="shared" si="14"/>
        <v>-16.908923781781944</v>
      </c>
      <c r="W34" s="18">
        <f t="shared" si="14"/>
        <v>-17.007559170509005</v>
      </c>
      <c r="X34" s="18">
        <f t="shared" si="14"/>
        <v>-17.106769932336974</v>
      </c>
      <c r="Y34" s="18">
        <f t="shared" si="14"/>
        <v>-17.206559423608937</v>
      </c>
      <c r="Z34" s="18">
        <f t="shared" si="14"/>
        <v>-17.306931020246658</v>
      </c>
      <c r="AA34" s="18">
        <f t="shared" si="14"/>
        <v>-17.40788811786476</v>
      </c>
      <c r="AB34" s="18">
        <f t="shared" si="14"/>
        <v>-17.50943413188564</v>
      </c>
      <c r="AC34" s="18">
        <f t="shared" si="14"/>
        <v>-187.1147978949923</v>
      </c>
      <c r="AD34" s="18">
        <f t="shared" si="14"/>
        <v>-218.25291426187448</v>
      </c>
      <c r="AE34" s="18">
        <f t="shared" si="14"/>
        <v>-193.8822878431315</v>
      </c>
      <c r="AF34" s="18">
        <f t="shared" si="14"/>
        <v>0</v>
      </c>
      <c r="AG34" s="18">
        <f t="shared" si="14"/>
        <v>0</v>
      </c>
      <c r="AH34" s="18">
        <f t="shared" si="14"/>
        <v>0</v>
      </c>
      <c r="AI34" s="18">
        <f t="shared" si="14"/>
        <v>0</v>
      </c>
      <c r="AJ34" s="18">
        <f>AJ28-AJ31</f>
        <v>0</v>
      </c>
    </row>
    <row r="35" spans="1:36" s="47" customFormat="1" ht="12.75">
      <c r="A35" s="45" t="s">
        <v>22</v>
      </c>
      <c r="B35" s="46">
        <f>B19+B25+B34</f>
        <v>12396.891319943608</v>
      </c>
      <c r="C35" s="27"/>
      <c r="D35" s="46">
        <f aca="true" t="shared" si="15" ref="D35:AI35">D19+D25+D34</f>
        <v>0</v>
      </c>
      <c r="E35" s="46">
        <f t="shared" si="15"/>
        <v>0</v>
      </c>
      <c r="F35" s="46">
        <f t="shared" si="15"/>
        <v>0</v>
      </c>
      <c r="G35" s="46">
        <f t="shared" si="15"/>
        <v>0</v>
      </c>
      <c r="H35" s="46">
        <f t="shared" si="15"/>
        <v>0</v>
      </c>
      <c r="I35" s="46">
        <f t="shared" si="15"/>
        <v>0</v>
      </c>
      <c r="J35" s="46">
        <f t="shared" si="15"/>
        <v>0</v>
      </c>
      <c r="K35" s="46">
        <f t="shared" si="15"/>
        <v>0</v>
      </c>
      <c r="L35" s="46">
        <f t="shared" si="15"/>
        <v>0</v>
      </c>
      <c r="M35" s="46">
        <f t="shared" si="15"/>
        <v>0</v>
      </c>
      <c r="N35" s="46">
        <f t="shared" si="15"/>
        <v>10.077176500000007</v>
      </c>
      <c r="O35" s="46">
        <f t="shared" si="15"/>
        <v>28.047176500000006</v>
      </c>
      <c r="P35" s="46">
        <f t="shared" si="15"/>
        <v>38.12435300000004</v>
      </c>
      <c r="Q35" s="46">
        <f t="shared" si="15"/>
        <v>41.412316575000006</v>
      </c>
      <c r="R35" s="46">
        <f t="shared" si="15"/>
        <v>42.862247065065844</v>
      </c>
      <c r="S35" s="46">
        <f t="shared" si="15"/>
        <v>60.83224706506584</v>
      </c>
      <c r="T35" s="46">
        <f t="shared" si="15"/>
        <v>78.80224706506581</v>
      </c>
      <c r="U35" s="46">
        <f t="shared" si="15"/>
        <v>78.80224706506581</v>
      </c>
      <c r="V35" s="46">
        <f t="shared" si="15"/>
        <v>-112.71775293493417</v>
      </c>
      <c r="W35" s="46">
        <f t="shared" si="15"/>
        <v>-112.71775293493417</v>
      </c>
      <c r="X35" s="46">
        <f t="shared" si="15"/>
        <v>-112.71775293493418</v>
      </c>
      <c r="Y35" s="46">
        <f t="shared" si="15"/>
        <v>78.8022470650658</v>
      </c>
      <c r="Z35" s="46">
        <f t="shared" si="15"/>
        <v>66.74224706506587</v>
      </c>
      <c r="AA35" s="46">
        <f t="shared" si="15"/>
        <v>102.68224706506575</v>
      </c>
      <c r="AB35" s="46">
        <f t="shared" si="15"/>
        <v>138.62224706506584</v>
      </c>
      <c r="AC35" s="46">
        <f>AC19+AC25+AC34</f>
        <v>351.40703429072414</v>
      </c>
      <c r="AD35" s="46">
        <f t="shared" si="15"/>
        <v>959.00572972579</v>
      </c>
      <c r="AE35" s="46">
        <f t="shared" si="15"/>
        <v>1371.782821937908</v>
      </c>
      <c r="AF35" s="46">
        <f t="shared" si="15"/>
        <v>1726.1187553891123</v>
      </c>
      <c r="AG35" s="46">
        <f t="shared" si="15"/>
        <v>1877.2246931585678</v>
      </c>
      <c r="AH35" s="46">
        <f t="shared" si="15"/>
        <v>2025.1039278164967</v>
      </c>
      <c r="AI35" s="46">
        <f t="shared" si="15"/>
        <v>2169.595124207321</v>
      </c>
      <c r="AJ35" s="46">
        <f>AJ19+AJ25+AJ34</f>
        <v>1878.528880417688</v>
      </c>
    </row>
    <row r="36" spans="1:45" s="21" customFormat="1" ht="12.75">
      <c r="A36" s="48" t="s">
        <v>48</v>
      </c>
      <c r="B36" s="27">
        <f>B7+B19+B25+B34</f>
        <v>12396.891319943608</v>
      </c>
      <c r="C36" s="49"/>
      <c r="D36" s="50">
        <f aca="true" t="shared" si="16" ref="D36:O36">D7+D19+D25+D34</f>
        <v>0</v>
      </c>
      <c r="E36" s="50">
        <f t="shared" si="16"/>
        <v>0</v>
      </c>
      <c r="F36" s="50">
        <f t="shared" si="16"/>
        <v>0</v>
      </c>
      <c r="G36" s="50">
        <f t="shared" si="16"/>
        <v>0</v>
      </c>
      <c r="H36" s="50">
        <f t="shared" si="16"/>
        <v>0</v>
      </c>
      <c r="I36" s="50">
        <f t="shared" si="16"/>
        <v>0</v>
      </c>
      <c r="J36" s="50">
        <f t="shared" si="16"/>
        <v>0</v>
      </c>
      <c r="K36" s="50">
        <f t="shared" si="16"/>
        <v>0</v>
      </c>
      <c r="L36" s="50">
        <f t="shared" si="16"/>
        <v>0</v>
      </c>
      <c r="M36" s="50">
        <f t="shared" si="16"/>
        <v>0</v>
      </c>
      <c r="N36" s="50">
        <f t="shared" si="16"/>
        <v>10.077176500000007</v>
      </c>
      <c r="O36" s="50">
        <f t="shared" si="16"/>
        <v>38.12435300000001</v>
      </c>
      <c r="P36" s="51">
        <f>O36</f>
        <v>38.12435300000001</v>
      </c>
      <c r="Q36" s="50">
        <f aca="true" t="shared" si="17" ref="Q36:AB36">P36+Q19+Q25+Q34</f>
        <v>79.53666957500002</v>
      </c>
      <c r="R36" s="50">
        <f t="shared" si="17"/>
        <v>122.39891664006586</v>
      </c>
      <c r="S36" s="50">
        <f t="shared" si="17"/>
        <v>183.2311637051317</v>
      </c>
      <c r="T36" s="50">
        <f t="shared" si="17"/>
        <v>262.0334107701975</v>
      </c>
      <c r="U36" s="50">
        <f t="shared" si="17"/>
        <v>340.83565783526336</v>
      </c>
      <c r="V36" s="50">
        <f t="shared" si="17"/>
        <v>228.1179049003292</v>
      </c>
      <c r="W36" s="50">
        <f t="shared" si="17"/>
        <v>115.40015196539503</v>
      </c>
      <c r="X36" s="50">
        <f t="shared" si="17"/>
        <v>2.682399030460843</v>
      </c>
      <c r="Y36" s="50">
        <f t="shared" si="17"/>
        <v>81.48464609552664</v>
      </c>
      <c r="Z36" s="50">
        <f t="shared" si="17"/>
        <v>148.2268931605925</v>
      </c>
      <c r="AA36" s="50">
        <f t="shared" si="17"/>
        <v>250.90914022565826</v>
      </c>
      <c r="AB36" s="50">
        <f t="shared" si="17"/>
        <v>389.53138729072407</v>
      </c>
      <c r="AC36" s="50">
        <f>AB36</f>
        <v>389.53138729072407</v>
      </c>
      <c r="AD36" s="50">
        <f aca="true" t="shared" si="18" ref="AD36:AJ36">AC36+AD19+AD25+AD34</f>
        <v>1348.537117016514</v>
      </c>
      <c r="AE36" s="50">
        <f t="shared" si="18"/>
        <v>2720.319938954422</v>
      </c>
      <c r="AF36" s="50">
        <f t="shared" si="18"/>
        <v>4446.438694343535</v>
      </c>
      <c r="AG36" s="50">
        <f t="shared" si="18"/>
        <v>6323.6633875021025</v>
      </c>
      <c r="AH36" s="50">
        <f t="shared" si="18"/>
        <v>8348.767315318599</v>
      </c>
      <c r="AI36" s="50">
        <f t="shared" si="18"/>
        <v>10518.36243952592</v>
      </c>
      <c r="AJ36" s="50">
        <f t="shared" si="18"/>
        <v>12396.891319943607</v>
      </c>
      <c r="AK36" s="7">
        <v>2013</v>
      </c>
      <c r="AL36" s="7">
        <f aca="true" t="shared" si="19" ref="AL36:AO37">AK36+1</f>
        <v>2014</v>
      </c>
      <c r="AM36" s="7">
        <f t="shared" si="19"/>
        <v>2015</v>
      </c>
      <c r="AN36" s="7">
        <f t="shared" si="19"/>
        <v>2016</v>
      </c>
      <c r="AO36" s="7">
        <f t="shared" si="19"/>
        <v>2017</v>
      </c>
      <c r="AP36" s="7">
        <f aca="true" t="shared" si="20" ref="AP36:AR37">AO36+1</f>
        <v>2018</v>
      </c>
      <c r="AQ36" s="7">
        <f t="shared" si="20"/>
        <v>2019</v>
      </c>
      <c r="AR36" s="7">
        <f t="shared" si="20"/>
        <v>2020</v>
      </c>
      <c r="AS36" s="7">
        <f>AR36+1</f>
        <v>2021</v>
      </c>
    </row>
    <row r="37" spans="1:45" ht="12.75">
      <c r="A37" s="52"/>
      <c r="B37" s="53">
        <f>AJ36</f>
        <v>12396.891319943607</v>
      </c>
      <c r="C37" s="54"/>
      <c r="D37" s="55">
        <f aca="true" t="shared" si="21" ref="D37:M37">D7+D35-D36</f>
        <v>0</v>
      </c>
      <c r="E37" s="55">
        <f t="shared" si="21"/>
        <v>0</v>
      </c>
      <c r="F37" s="55">
        <f t="shared" si="21"/>
        <v>0</v>
      </c>
      <c r="G37" s="55">
        <f t="shared" si="21"/>
        <v>0</v>
      </c>
      <c r="H37" s="55">
        <f t="shared" si="21"/>
        <v>0</v>
      </c>
      <c r="I37" s="55">
        <f t="shared" si="21"/>
        <v>0</v>
      </c>
      <c r="J37" s="55">
        <f t="shared" si="21"/>
        <v>0</v>
      </c>
      <c r="K37" s="55">
        <f t="shared" si="21"/>
        <v>0</v>
      </c>
      <c r="L37" s="55">
        <f t="shared" si="21"/>
        <v>0</v>
      </c>
      <c r="M37" s="55">
        <f t="shared" si="21"/>
        <v>0</v>
      </c>
      <c r="N37" s="55"/>
      <c r="O37" s="55">
        <f>O7+O35-O36</f>
        <v>0</v>
      </c>
      <c r="P37" s="55"/>
      <c r="Q37" s="55">
        <f>Q7+Q35-Q36</f>
        <v>0</v>
      </c>
      <c r="R37" s="55">
        <f>R7+R35-R36</f>
        <v>0</v>
      </c>
      <c r="S37" s="55">
        <f>S7+S35-S36</f>
        <v>0</v>
      </c>
      <c r="T37" s="55">
        <f>T7+T35-T36</f>
        <v>0</v>
      </c>
      <c r="U37" s="55"/>
      <c r="V37" s="55"/>
      <c r="W37" s="55">
        <f aca="true" t="shared" si="22" ref="W37:AB37">W7+W35-W36</f>
        <v>0</v>
      </c>
      <c r="X37" s="55">
        <f t="shared" si="22"/>
        <v>0</v>
      </c>
      <c r="Y37" s="55">
        <f t="shared" si="22"/>
        <v>0</v>
      </c>
      <c r="Z37" s="55">
        <f t="shared" si="22"/>
        <v>0</v>
      </c>
      <c r="AA37" s="55">
        <f t="shared" si="22"/>
        <v>0</v>
      </c>
      <c r="AB37" s="55">
        <f t="shared" si="22"/>
        <v>0</v>
      </c>
      <c r="AC37" s="55"/>
      <c r="AD37" s="55">
        <f>AD7+AD35-AD36</f>
        <v>0</v>
      </c>
      <c r="AE37" s="55">
        <f>AE7+AE35-AE36</f>
        <v>0</v>
      </c>
      <c r="AF37" s="55">
        <f>AF7+AF35-AF36</f>
        <v>0</v>
      </c>
      <c r="AG37" s="55">
        <f>AG7+AG35-AG36</f>
        <v>0</v>
      </c>
      <c r="AH37" s="55">
        <f>AH7+AH35-AH36</f>
        <v>0</v>
      </c>
      <c r="AK37" s="61">
        <v>0</v>
      </c>
      <c r="AL37" s="61">
        <f t="shared" si="19"/>
        <v>1</v>
      </c>
      <c r="AM37" s="61">
        <f t="shared" si="19"/>
        <v>2</v>
      </c>
      <c r="AN37" s="61">
        <f t="shared" si="19"/>
        <v>3</v>
      </c>
      <c r="AO37" s="61">
        <f t="shared" si="19"/>
        <v>4</v>
      </c>
      <c r="AP37" s="61">
        <f t="shared" si="20"/>
        <v>5</v>
      </c>
      <c r="AQ37" s="61">
        <f t="shared" si="20"/>
        <v>6</v>
      </c>
      <c r="AR37" s="61">
        <f t="shared" si="20"/>
        <v>7</v>
      </c>
      <c r="AS37" s="61">
        <f>AR37+1</f>
        <v>8</v>
      </c>
    </row>
    <row r="38" spans="1:45" ht="12.75">
      <c r="A38" s="52" t="s">
        <v>53</v>
      </c>
      <c r="B38" s="62">
        <f>B36-B37</f>
        <v>0</v>
      </c>
      <c r="C38" s="54"/>
      <c r="P38" s="6"/>
      <c r="AK38" s="57">
        <f>P35</f>
        <v>38.12435300000004</v>
      </c>
      <c r="AL38" s="57">
        <f aca="true" t="shared" si="23" ref="AL38:AS38">AC35</f>
        <v>351.40703429072414</v>
      </c>
      <c r="AM38" s="57">
        <f t="shared" si="23"/>
        <v>959.00572972579</v>
      </c>
      <c r="AN38" s="57">
        <f t="shared" si="23"/>
        <v>1371.782821937908</v>
      </c>
      <c r="AO38" s="57">
        <f t="shared" si="23"/>
        <v>1726.1187553891123</v>
      </c>
      <c r="AP38" s="57">
        <f t="shared" si="23"/>
        <v>1877.2246931585678</v>
      </c>
      <c r="AQ38" s="57">
        <f t="shared" si="23"/>
        <v>2025.1039278164967</v>
      </c>
      <c r="AR38" s="57">
        <f t="shared" si="23"/>
        <v>2169.595124207321</v>
      </c>
      <c r="AS38" s="57">
        <f t="shared" si="23"/>
        <v>1878.528880417688</v>
      </c>
    </row>
    <row r="39" spans="1:45" ht="12.75">
      <c r="A39" s="52" t="s">
        <v>54</v>
      </c>
      <c r="B39" s="54"/>
      <c r="C39" s="54"/>
      <c r="AK39" s="57">
        <f>AK38+P33+P32+P16</f>
        <v>45.11560300000004</v>
      </c>
      <c r="AL39" s="57">
        <f aca="true" t="shared" si="24" ref="AL39:AS39">AL38+AC33+AC32+AC16</f>
        <v>575.0752989000002</v>
      </c>
      <c r="AM39" s="57">
        <f t="shared" si="24"/>
        <v>1199.1940638450003</v>
      </c>
      <c r="AN39" s="57">
        <f t="shared" si="24"/>
        <v>1571.93976703725</v>
      </c>
      <c r="AO39" s="57">
        <f t="shared" si="24"/>
        <v>1726.1187553891125</v>
      </c>
      <c r="AP39" s="57">
        <f t="shared" si="24"/>
        <v>1877.224693158568</v>
      </c>
      <c r="AQ39" s="57">
        <f t="shared" si="24"/>
        <v>2025.103927816497</v>
      </c>
      <c r="AR39" s="57">
        <f t="shared" si="24"/>
        <v>2169.595124207321</v>
      </c>
      <c r="AS39" s="57">
        <f t="shared" si="24"/>
        <v>1878.5288804176882</v>
      </c>
    </row>
    <row r="40" spans="1:45" ht="12.75">
      <c r="A40" s="52" t="s">
        <v>55</v>
      </c>
      <c r="B40" s="54"/>
      <c r="C40" s="54"/>
      <c r="V40" s="57"/>
      <c r="AK40" s="57">
        <f>P28</f>
        <v>705</v>
      </c>
      <c r="AL40" s="57">
        <f>AC28</f>
        <v>0</v>
      </c>
      <c r="AM40" s="57"/>
      <c r="AN40" s="57"/>
      <c r="AO40" s="57"/>
      <c r="AP40" s="57"/>
      <c r="AQ40" s="57"/>
      <c r="AR40" s="57"/>
      <c r="AS40" s="57"/>
    </row>
    <row r="41" spans="1:45" ht="12.75">
      <c r="A41" s="63" t="s">
        <v>56</v>
      </c>
      <c r="B41" s="54"/>
      <c r="C41" s="54"/>
      <c r="AK41" s="64">
        <f>AK39-AK40</f>
        <v>-659.8843969999999</v>
      </c>
      <c r="AL41" s="64">
        <f aca="true" t="shared" si="25" ref="AL41:AQ41">AL39-AL40</f>
        <v>575.0752989000002</v>
      </c>
      <c r="AM41" s="64">
        <f t="shared" si="25"/>
        <v>1199.1940638450003</v>
      </c>
      <c r="AN41" s="64">
        <f t="shared" si="25"/>
        <v>1571.93976703725</v>
      </c>
      <c r="AO41" s="64">
        <f t="shared" si="25"/>
        <v>1726.1187553891125</v>
      </c>
      <c r="AP41" s="64">
        <f t="shared" si="25"/>
        <v>1877.224693158568</v>
      </c>
      <c r="AQ41" s="64">
        <f t="shared" si="25"/>
        <v>2025.103927816497</v>
      </c>
      <c r="AR41" s="64">
        <f>AR39-AR40</f>
        <v>2169.595124207321</v>
      </c>
      <c r="AS41" s="64">
        <f>AS39-AS40</f>
        <v>1878.5288804176882</v>
      </c>
    </row>
    <row r="42" spans="1:45" ht="12.75">
      <c r="A42" s="65" t="s">
        <v>57</v>
      </c>
      <c r="B42" s="54"/>
      <c r="C42" s="54"/>
      <c r="AK42" s="66">
        <f>AK41/(1+Исх!$C$7)^'1-Ф3'!AK37</f>
        <v>-659.8843969999999</v>
      </c>
      <c r="AL42" s="66">
        <f>AL41/(1+Исх!$C$7)^'1-Ф3'!AL37</f>
        <v>532.3711473178953</v>
      </c>
      <c r="AM42" s="66">
        <f>AM41/(1+Исх!$C$7)^'1-Ф3'!AM37</f>
        <v>1027.7064038797241</v>
      </c>
      <c r="AN42" s="66">
        <f>AN41/(1+Исх!$C$7)^'1-Ф3'!AN37</f>
        <v>1247.1115170235992</v>
      </c>
      <c r="AO42" s="66">
        <f>AO41/(1+Исх!$C$7)^'1-Ф3'!AO37</f>
        <v>1267.739017312005</v>
      </c>
      <c r="AP42" s="66">
        <f>AP41/(1+Исх!$C$7)^'1-Ф3'!AP37</f>
        <v>1276.336649617783</v>
      </c>
      <c r="AQ42" s="66">
        <f>AQ41/(1+Исх!$C$7)^'1-Ф3'!AQ37</f>
        <v>1274.6357470871515</v>
      </c>
      <c r="AR42" s="66">
        <f>AR41/(1+Исх!$C$7)^'1-Ф3'!AR37</f>
        <v>1264.175212566556</v>
      </c>
      <c r="AS42" s="66">
        <f>AS41/(1+Исх!$C$7)^'1-Ф3'!AS37</f>
        <v>1013.2958104709784</v>
      </c>
    </row>
    <row r="43" spans="1:45" ht="12.75">
      <c r="A43" s="63" t="s">
        <v>58</v>
      </c>
      <c r="B43" s="54"/>
      <c r="C43" s="54"/>
      <c r="AK43" s="64">
        <f>AK41</f>
        <v>-659.8843969999999</v>
      </c>
      <c r="AL43" s="64">
        <f aca="true" t="shared" si="26" ref="AL43:AO44">AK43+AL41</f>
        <v>-84.80909809999969</v>
      </c>
      <c r="AM43" s="64">
        <f t="shared" si="26"/>
        <v>1114.3849657450005</v>
      </c>
      <c r="AN43" s="64">
        <f t="shared" si="26"/>
        <v>2686.3247327822505</v>
      </c>
      <c r="AO43" s="64">
        <f t="shared" si="26"/>
        <v>4412.443488171363</v>
      </c>
      <c r="AP43" s="64">
        <f aca="true" t="shared" si="27" ref="AP43:AR44">AO43+AP41</f>
        <v>6289.668181329931</v>
      </c>
      <c r="AQ43" s="64">
        <f t="shared" si="27"/>
        <v>8314.772109146428</v>
      </c>
      <c r="AR43" s="64">
        <f t="shared" si="27"/>
        <v>10484.367233353749</v>
      </c>
      <c r="AS43" s="64">
        <f>AR43+AS41</f>
        <v>12362.896113771438</v>
      </c>
    </row>
    <row r="44" spans="1:45" ht="12.75">
      <c r="A44" s="65" t="s">
        <v>59</v>
      </c>
      <c r="B44" s="54"/>
      <c r="C44" s="54"/>
      <c r="AK44" s="66">
        <f>AK42</f>
        <v>-659.8843969999999</v>
      </c>
      <c r="AL44" s="66">
        <f t="shared" si="26"/>
        <v>-127.51324968210463</v>
      </c>
      <c r="AM44" s="66">
        <f t="shared" si="26"/>
        <v>900.1931541976195</v>
      </c>
      <c r="AN44" s="66">
        <f t="shared" si="26"/>
        <v>2147.3046712212185</v>
      </c>
      <c r="AO44" s="66">
        <f t="shared" si="26"/>
        <v>3415.0436885332238</v>
      </c>
      <c r="AP44" s="66">
        <f t="shared" si="27"/>
        <v>4691.380338151007</v>
      </c>
      <c r="AQ44" s="66">
        <f t="shared" si="27"/>
        <v>5966.016085238159</v>
      </c>
      <c r="AR44" s="66">
        <f t="shared" si="27"/>
        <v>7230.191297804715</v>
      </c>
      <c r="AS44" s="66">
        <f>AR44+AS42</f>
        <v>8243.487108275693</v>
      </c>
    </row>
    <row r="45" spans="1:45" ht="12.75">
      <c r="A45" s="52" t="s">
        <v>60</v>
      </c>
      <c r="B45" s="54"/>
      <c r="C45" s="54"/>
      <c r="AK45" s="57">
        <f>NPV(Исх!$C$7,'1-Ф3'!$AK39:AK39)</f>
        <v>41.76539207472591</v>
      </c>
      <c r="AL45" s="57">
        <f>NPV(Исх!$C$7,'1-Ф3'!$AK39:AL39)</f>
        <v>534.6035282956591</v>
      </c>
      <c r="AM45" s="57">
        <f>NPV(Исх!$C$7,'1-Ф3'!$AK39:AM39)</f>
        <v>1485.9941346839469</v>
      </c>
      <c r="AN45" s="57">
        <f>NPV(Исх!$C$7,'1-Ф3'!$AK39:AN39)</f>
        <v>2640.497189190318</v>
      </c>
      <c r="AO45" s="57">
        <f>NPV(Исх!$C$7,'1-Ф3'!$AK39:AO39)</f>
        <v>3814.095979534837</v>
      </c>
      <c r="AP45" s="57">
        <f>NPV(Исх!$C$7,'1-Ф3'!$AK39:AP39)</f>
        <v>4995.653956065234</v>
      </c>
      <c r="AQ45" s="57">
        <f>NPV(Исх!$C$7,'1-Ф3'!$AK39:AQ39)</f>
        <v>6175.637336306345</v>
      </c>
      <c r="AR45" s="57">
        <f>NPV(Исх!$C$7,'1-Ф3'!$AK39:AR39)</f>
        <v>7345.936964219821</v>
      </c>
      <c r="AS45" s="57">
        <f>NPV(Исх!$C$7,'1-Ф3'!$AK39:AS39)</f>
        <v>8283.987084307932</v>
      </c>
    </row>
    <row r="46" spans="1:45" ht="12.75">
      <c r="A46" s="52" t="s">
        <v>61</v>
      </c>
      <c r="B46" s="54"/>
      <c r="C46" s="54"/>
      <c r="AK46" s="57">
        <f>NPV(Исх!$C$7,'1-Ф3'!$AK40:AK40)</f>
        <v>652.6478525108428</v>
      </c>
      <c r="AL46" s="57">
        <f>NPV(Исх!$C$7,'1-Ф3'!$AK40:AL40)</f>
        <v>652.6478525108428</v>
      </c>
      <c r="AM46" s="57">
        <f>NPV(Исх!$C$7,'1-Ф3'!$AK40:AM40)</f>
        <v>652.6478525108428</v>
      </c>
      <c r="AN46" s="57">
        <f>NPV(Исх!$C$7,'1-Ф3'!$AK40:AN40)</f>
        <v>652.6478525108428</v>
      </c>
      <c r="AO46" s="57">
        <f>NPV(Исх!$C$7,'1-Ф3'!$AK40:AO40)</f>
        <v>652.6478525108428</v>
      </c>
      <c r="AP46" s="57">
        <f>NPV(Исх!$C$7,'1-Ф3'!$AK40:AP40)</f>
        <v>652.6478525108428</v>
      </c>
      <c r="AQ46" s="57">
        <f>NPV(Исх!$C$7,'1-Ф3'!$AK40:AQ40)</f>
        <v>652.6478525108428</v>
      </c>
      <c r="AR46" s="57">
        <f>NPV(Исх!$C$7,'1-Ф3'!$AK40:AR40)</f>
        <v>652.6478525108428</v>
      </c>
      <c r="AS46" s="57">
        <f>NPV(Исх!$C$7,'1-Ф3'!$AK40:AS40)</f>
        <v>652.6478525108428</v>
      </c>
    </row>
    <row r="47" spans="1:45" ht="12.75">
      <c r="A47" s="52" t="s">
        <v>62</v>
      </c>
      <c r="B47" s="54"/>
      <c r="C47" s="54"/>
      <c r="AK47" s="57">
        <f aca="true" t="shared" si="28" ref="AK47:AQ47">AK45-AK46</f>
        <v>-610.8824604361168</v>
      </c>
      <c r="AL47" s="57">
        <f t="shared" si="28"/>
        <v>-118.04432421518368</v>
      </c>
      <c r="AM47" s="57">
        <f t="shared" si="28"/>
        <v>833.3462821731041</v>
      </c>
      <c r="AN47" s="57">
        <f t="shared" si="28"/>
        <v>1987.849336679475</v>
      </c>
      <c r="AO47" s="57">
        <f t="shared" si="28"/>
        <v>3161.4481270239944</v>
      </c>
      <c r="AP47" s="57">
        <f t="shared" si="28"/>
        <v>4343.006103554391</v>
      </c>
      <c r="AQ47" s="57">
        <f t="shared" si="28"/>
        <v>5522.989483795502</v>
      </c>
      <c r="AR47" s="57">
        <f>AR45-AR46</f>
        <v>6693.289111708978</v>
      </c>
      <c r="AS47" s="57">
        <f>AS45-AS46</f>
        <v>7631.339231797088</v>
      </c>
    </row>
    <row r="48" spans="1:45" ht="12.75">
      <c r="A48" s="52" t="s">
        <v>63</v>
      </c>
      <c r="B48" s="54"/>
      <c r="C48" s="54"/>
      <c r="AK48" s="67">
        <f aca="true" t="shared" si="29" ref="AK48:AQ48">AK45/AK46</f>
        <v>0.06399376312056744</v>
      </c>
      <c r="AL48" s="67">
        <f t="shared" si="29"/>
        <v>0.819130142294887</v>
      </c>
      <c r="AM48" s="67">
        <f t="shared" si="29"/>
        <v>2.276869722266127</v>
      </c>
      <c r="AN48" s="67">
        <f t="shared" si="29"/>
        <v>4.045822228682581</v>
      </c>
      <c r="AO48" s="67">
        <f t="shared" si="29"/>
        <v>5.8440336007563465</v>
      </c>
      <c r="AP48" s="67">
        <f t="shared" si="29"/>
        <v>7.654440195958874</v>
      </c>
      <c r="AQ48" s="67">
        <f t="shared" si="29"/>
        <v>9.462434163458381</v>
      </c>
      <c r="AR48" s="67">
        <f>AR45/AR46</f>
        <v>11.25559049334002</v>
      </c>
      <c r="AS48" s="67">
        <f>AS45/AS46</f>
        <v>12.69288951528467</v>
      </c>
    </row>
    <row r="49" spans="1:45" ht="12.75">
      <c r="A49" s="52" t="s">
        <v>64</v>
      </c>
      <c r="B49" s="54"/>
      <c r="C49" s="54"/>
      <c r="AG49" s="68" t="str">
        <f>IF(ISERROR(IRR($AK41:AK$41))," ",IF(IRR($AK41:AK$41)&lt;0," ",IRR($AK41:AK$41)))</f>
        <v> </v>
      </c>
      <c r="AH49" s="68"/>
      <c r="AK49" s="68" t="str">
        <f>IF(ISERROR(IRR($AK41:AK$41))," ",IF(IRR($AK41:AK$41)&lt;0," ",IRR($AK41:AK$41)))</f>
        <v> </v>
      </c>
      <c r="AL49" s="68" t="str">
        <f>IF(ISERROR(IRR($AK41:AL$41))," ",IF(IRR($AK41:AL$41)&lt;0," ",IRR($AK41:AL$41)))</f>
        <v> </v>
      </c>
      <c r="AM49" s="68">
        <f>IF(ISERROR(IRR($AK41:AM$41))," ",IF(IRR($AK41:AM$41)&lt;0," ",IRR($AK41:AM$41)))</f>
        <v>0.8524778858554478</v>
      </c>
      <c r="AN49" s="68">
        <f>IF(ISERROR(IRR($AK41:AN$41))," ",IF(IRR($AK41:AN$41)&lt;0," ",IRR($AK41:AN$41)))</f>
        <v>1.1943543583959135</v>
      </c>
      <c r="AO49" s="68">
        <f>IF(ISERROR(IRR($AK41:AO$41))," ",IF(IRR($AK41:AO$41)&lt;0," ",IRR($AK41:AO$41)))</f>
        <v>1.3134044740644444</v>
      </c>
      <c r="AP49" s="68">
        <f>IF(ISERROR(IRR($AK41:AP$41))," ",IF(IRR($AK41:AP$41)&lt;0," ",IRR($AK41:AP$41)))</f>
        <v>1.3599665708571718</v>
      </c>
      <c r="AQ49" s="68">
        <f>IF(ISERROR(IRR($AK41:AQ$41))," ",IF(IRR($AK41:AQ$41)&lt;0," ",IRR($AK41:AQ$41)))</f>
        <v>1.3792892586370278</v>
      </c>
      <c r="AR49" s="68">
        <f>IF(ISERROR(IRR($AK41:AR$41))," ",IF(IRR($AK41:AR$41)&lt;0," ",IRR($AK41:AR$41)))</f>
        <v>1.3875578749367952</v>
      </c>
      <c r="AS49" s="68">
        <f>IF(ISERROR(IRR($AK41:AS$41))," ",IF(IRR($AK41:AS$41)&lt;0," ",IRR($AK41:AS$41)))</f>
        <v>1.390482815930039</v>
      </c>
    </row>
    <row r="50" spans="1:3" ht="12.75">
      <c r="A50" s="69" t="s">
        <v>30</v>
      </c>
      <c r="B50" s="309">
        <f>AL37-AL43/AM41+2/12</f>
        <v>1.237388412760101</v>
      </c>
      <c r="C50" s="54"/>
    </row>
    <row r="51" spans="1:3" ht="12.75">
      <c r="A51" s="69" t="s">
        <v>25</v>
      </c>
      <c r="B51" s="309">
        <f>AL37-AL44/AM42+2/12</f>
        <v>1.290742228715055</v>
      </c>
      <c r="C51" s="54"/>
    </row>
    <row r="52" spans="1:3" ht="12.75">
      <c r="A52" s="52"/>
      <c r="B52" s="54"/>
      <c r="C52" s="54"/>
    </row>
    <row r="53" spans="1:3" ht="12.75">
      <c r="A53" s="52"/>
      <c r="B53" s="54"/>
      <c r="C53" s="54"/>
    </row>
    <row r="54" spans="1:3" ht="12.75">
      <c r="A54" s="52"/>
      <c r="B54" s="54"/>
      <c r="C54" s="54"/>
    </row>
    <row r="55" spans="1:3" ht="12.75">
      <c r="A55" s="52"/>
      <c r="B55" s="54"/>
      <c r="C55" s="54"/>
    </row>
    <row r="56" spans="1:3" ht="12.75">
      <c r="A56" s="52"/>
      <c r="B56" s="54"/>
      <c r="C56" s="54"/>
    </row>
    <row r="57" spans="1:3" ht="12.75">
      <c r="A57" s="52"/>
      <c r="B57" s="54"/>
      <c r="C57" s="54"/>
    </row>
    <row r="58" spans="1:3" ht="12.75">
      <c r="A58" s="52"/>
      <c r="B58" s="54"/>
      <c r="C58" s="54"/>
    </row>
    <row r="59" spans="1:3" ht="12.75">
      <c r="A59" s="52"/>
      <c r="B59" s="54"/>
      <c r="C59" s="54"/>
    </row>
    <row r="60" spans="1:3" ht="12.75">
      <c r="A60" s="52"/>
      <c r="B60" s="54"/>
      <c r="C60" s="54"/>
    </row>
    <row r="61" spans="1:3" ht="12.75">
      <c r="A61" s="52"/>
      <c r="B61" s="54"/>
      <c r="C61" s="54"/>
    </row>
    <row r="62" spans="1:3" ht="12.75">
      <c r="A62" s="52"/>
      <c r="B62" s="54"/>
      <c r="C62" s="54"/>
    </row>
    <row r="63" spans="1:3" ht="12.75">
      <c r="A63" s="52"/>
      <c r="B63" s="54"/>
      <c r="C63" s="54"/>
    </row>
    <row r="64" spans="1:32" ht="12.75">
      <c r="A64" s="52"/>
      <c r="B64" s="54"/>
      <c r="C64" s="54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2.75">
      <c r="A65" s="52"/>
      <c r="B65" s="54"/>
      <c r="C65" s="5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2.75">
      <c r="A66" s="52"/>
      <c r="B66" s="54"/>
      <c r="C66" s="5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2.75">
      <c r="A67" s="52"/>
      <c r="B67" s="54"/>
      <c r="C67" s="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2.75">
      <c r="A68" s="52"/>
      <c r="B68" s="54"/>
      <c r="C68" s="5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>
      <c r="A69" s="52"/>
      <c r="B69" s="54"/>
      <c r="C69" s="5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2.75">
      <c r="A70" s="52"/>
      <c r="B70" s="54"/>
      <c r="C70" s="5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2.75">
      <c r="A71" s="52"/>
      <c r="B71" s="54"/>
      <c r="C71" s="5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2.75">
      <c r="A72" s="52"/>
      <c r="B72" s="54"/>
      <c r="C72" s="5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2.75">
      <c r="A73" s="52"/>
      <c r="B73" s="54"/>
      <c r="C73" s="5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2.75">
      <c r="A74" s="52"/>
      <c r="B74" s="54"/>
      <c r="C74" s="5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2.75">
      <c r="A75" s="52"/>
      <c r="B75" s="54"/>
      <c r="C75" s="5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2.75">
      <c r="A76" s="52"/>
      <c r="B76" s="54"/>
      <c r="C76" s="54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2.75">
      <c r="A77" s="52"/>
      <c r="B77" s="54"/>
      <c r="C77" s="5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2.75">
      <c r="A78" s="52"/>
      <c r="B78" s="54"/>
      <c r="C78" s="5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2.75">
      <c r="A79" s="52"/>
      <c r="B79" s="54"/>
      <c r="C79" s="5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2.75">
      <c r="A80" s="52"/>
      <c r="B80" s="54"/>
      <c r="C80" s="5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2.75">
      <c r="A81" s="52"/>
      <c r="B81" s="54"/>
      <c r="C81" s="5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2.75">
      <c r="A82" s="52"/>
      <c r="B82" s="54"/>
      <c r="C82" s="5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2.75">
      <c r="A83" s="52"/>
      <c r="B83" s="54"/>
      <c r="C83" s="5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2.75">
      <c r="A84" s="52"/>
      <c r="B84" s="54"/>
      <c r="C84" s="5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2.75">
      <c r="A85" s="52"/>
      <c r="B85" s="54"/>
      <c r="C85" s="5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2.75">
      <c r="A86" s="52"/>
      <c r="B86" s="54"/>
      <c r="C86" s="5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2.75">
      <c r="A87" s="52"/>
      <c r="B87" s="54"/>
      <c r="C87" s="5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2.75">
      <c r="A88" s="52"/>
      <c r="B88" s="54"/>
      <c r="C88" s="5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2.75">
      <c r="A89" s="52"/>
      <c r="B89" s="54"/>
      <c r="C89" s="5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2.75">
      <c r="A90" s="52"/>
      <c r="B90" s="54"/>
      <c r="C90" s="5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2.75">
      <c r="A91" s="52"/>
      <c r="B91" s="54"/>
      <c r="C91" s="5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2.75">
      <c r="A92" s="52"/>
      <c r="B92" s="54"/>
      <c r="C92" s="5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2.75">
      <c r="A93" s="52"/>
      <c r="B93" s="54"/>
      <c r="C93" s="5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2.75">
      <c r="A94" s="52"/>
      <c r="B94" s="54"/>
      <c r="C94" s="5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2.75">
      <c r="A95" s="52"/>
      <c r="B95" s="54"/>
      <c r="C95" s="5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2.75">
      <c r="A96" s="52"/>
      <c r="B96" s="54"/>
      <c r="C96" s="5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2.75">
      <c r="A97" s="52"/>
      <c r="B97" s="54"/>
      <c r="C97" s="5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2.75">
      <c r="A98" s="52"/>
      <c r="B98" s="54"/>
      <c r="C98" s="5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2.75">
      <c r="A99" s="52"/>
      <c r="B99" s="54"/>
      <c r="C99" s="5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2.75">
      <c r="A100" s="52"/>
      <c r="B100" s="54"/>
      <c r="C100" s="5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2.75">
      <c r="A101" s="52"/>
      <c r="B101" s="54"/>
      <c r="C101" s="5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2.75">
      <c r="A102" s="52"/>
      <c r="B102" s="54"/>
      <c r="C102" s="5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2.75">
      <c r="A103" s="52"/>
      <c r="B103" s="54"/>
      <c r="C103" s="5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2.75">
      <c r="A104" s="52"/>
      <c r="B104" s="54"/>
      <c r="C104" s="5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2.75">
      <c r="A105" s="52"/>
      <c r="B105" s="54"/>
      <c r="C105" s="5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2.75">
      <c r="A106" s="52"/>
      <c r="B106" s="54"/>
      <c r="C106" s="5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2.75">
      <c r="A107" s="52"/>
      <c r="B107" s="54"/>
      <c r="C107" s="5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2.75">
      <c r="A108" s="52"/>
      <c r="B108" s="54"/>
      <c r="C108" s="5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2.75">
      <c r="A109" s="52"/>
      <c r="B109" s="54"/>
      <c r="C109" s="5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2.75">
      <c r="A110" s="52"/>
      <c r="B110" s="54"/>
      <c r="C110" s="5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2.75">
      <c r="A111" s="52"/>
      <c r="B111" s="54"/>
      <c r="C111" s="5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2.75">
      <c r="A112" s="52"/>
      <c r="B112" s="54"/>
      <c r="C112" s="5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2.75">
      <c r="A113" s="52"/>
      <c r="B113" s="54"/>
      <c r="C113" s="5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2.75">
      <c r="A114" s="52"/>
      <c r="B114" s="54"/>
      <c r="C114" s="5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2.75">
      <c r="A115" s="52"/>
      <c r="B115" s="54"/>
      <c r="C115" s="5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2.75">
      <c r="A116" s="52"/>
      <c r="B116" s="54"/>
      <c r="C116" s="5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2.75">
      <c r="A117" s="52"/>
      <c r="B117" s="54"/>
      <c r="C117" s="5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2.75">
      <c r="A118" s="52"/>
      <c r="B118" s="54"/>
      <c r="C118" s="5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2.75">
      <c r="A119" s="52"/>
      <c r="B119" s="54"/>
      <c r="C119" s="5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2.75">
      <c r="A120" s="52"/>
      <c r="B120" s="54"/>
      <c r="C120" s="5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2.75">
      <c r="A121" s="52"/>
      <c r="B121" s="54"/>
      <c r="C121" s="5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2.75">
      <c r="A122" s="52"/>
      <c r="B122" s="54"/>
      <c r="C122" s="5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2.75">
      <c r="A123" s="52"/>
      <c r="B123" s="54"/>
      <c r="C123" s="5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2.75">
      <c r="A124" s="52"/>
      <c r="B124" s="54"/>
      <c r="C124" s="5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2.75">
      <c r="A125" s="52"/>
      <c r="B125" s="54"/>
      <c r="C125" s="5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2.75">
      <c r="A126" s="52"/>
      <c r="B126" s="54"/>
      <c r="C126" s="5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2.75">
      <c r="A127" s="52"/>
      <c r="B127" s="54"/>
      <c r="C127" s="5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2.75">
      <c r="A128" s="52"/>
      <c r="B128" s="54"/>
      <c r="C128" s="5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12.75">
      <c r="A129" s="52"/>
      <c r="B129" s="54"/>
      <c r="C129" s="5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2.75">
      <c r="A130" s="52"/>
      <c r="B130" s="54"/>
      <c r="C130" s="5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12.75">
      <c r="A131" s="52"/>
      <c r="B131" s="54"/>
      <c r="C131" s="5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12.75">
      <c r="A132" s="52"/>
      <c r="B132" s="54"/>
      <c r="C132" s="5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12.75">
      <c r="A133" s="52"/>
      <c r="B133" s="54"/>
      <c r="C133" s="5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12.75">
      <c r="A134" s="52"/>
      <c r="B134" s="54"/>
      <c r="C134" s="5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12.75">
      <c r="A135" s="52"/>
      <c r="B135" s="54"/>
      <c r="C135" s="5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12.75">
      <c r="A136" s="52"/>
      <c r="B136" s="54"/>
      <c r="C136" s="5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2.75">
      <c r="A137" s="52"/>
      <c r="B137" s="54"/>
      <c r="C137" s="5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2.75">
      <c r="A138" s="52"/>
      <c r="B138" s="54"/>
      <c r="C138" s="5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2.75">
      <c r="A139" s="52"/>
      <c r="B139" s="54"/>
      <c r="C139" s="5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12.75">
      <c r="A140" s="52"/>
      <c r="B140" s="54"/>
      <c r="C140" s="5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12.75">
      <c r="A141" s="52"/>
      <c r="B141" s="54"/>
      <c r="C141" s="5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12.75">
      <c r="A142" s="52"/>
      <c r="B142" s="54"/>
      <c r="C142" s="5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12.75">
      <c r="A143" s="52"/>
      <c r="B143" s="54"/>
      <c r="C143" s="5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5905511811023623" bottom="0.35433070866141736" header="0.35433070866141736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DP60"/>
  <sheetViews>
    <sheetView showGridLines="0" zoomScalePageLayoutView="0" workbookViewId="0" topLeftCell="A1">
      <pane xSplit="2" ySplit="6" topLeftCell="O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P23" sqref="CP23:CX23"/>
    </sheetView>
  </sheetViews>
  <sheetFormatPr defaultColWidth="9.00390625" defaultRowHeight="12.75" outlineLevelCol="1"/>
  <cols>
    <col min="1" max="1" width="23.25390625" style="172" customWidth="1"/>
    <col min="2" max="2" width="12.125" style="172" customWidth="1"/>
    <col min="3" max="14" width="9.125" style="172" hidden="1" customWidth="1" outlineLevel="1"/>
    <col min="15" max="15" width="8.375" style="173" customWidth="1" collapsed="1"/>
    <col min="16" max="27" width="8.375" style="172" hidden="1" customWidth="1" outlineLevel="1"/>
    <col min="28" max="28" width="8.375" style="173" customWidth="1" collapsed="1"/>
    <col min="29" max="40" width="8.375" style="172" hidden="1" customWidth="1" outlineLevel="1"/>
    <col min="41" max="41" width="8.375" style="173" customWidth="1" collapsed="1"/>
    <col min="42" max="53" width="8.375" style="172" hidden="1" customWidth="1" outlineLevel="1"/>
    <col min="54" max="54" width="8.375" style="173" customWidth="1" collapsed="1"/>
    <col min="55" max="66" width="8.375" style="172" hidden="1" customWidth="1" outlineLevel="1"/>
    <col min="67" max="67" width="8.375" style="173" customWidth="1" collapsed="1"/>
    <col min="68" max="79" width="8.375" style="172" hidden="1" customWidth="1" outlineLevel="1"/>
    <col min="80" max="80" width="8.375" style="173" customWidth="1" collapsed="1"/>
    <col min="81" max="92" width="8.375" style="172" hidden="1" customWidth="1" outlineLevel="1"/>
    <col min="93" max="93" width="8.375" style="173" customWidth="1" collapsed="1"/>
    <col min="94" max="105" width="8.375" style="172" hidden="1" customWidth="1" outlineLevel="1"/>
    <col min="106" max="106" width="8.375" style="173" customWidth="1" collapsed="1"/>
    <col min="107" max="118" width="8.375" style="172" hidden="1" customWidth="1" outlineLevel="1"/>
    <col min="119" max="119" width="8.375" style="173" customWidth="1" collapsed="1"/>
    <col min="120" max="16384" width="9.125" style="172" customWidth="1"/>
  </cols>
  <sheetData>
    <row r="1" ht="9.75" customHeight="1"/>
    <row r="2" spans="1:15" ht="18.75" customHeight="1">
      <c r="A2" s="173" t="s">
        <v>90</v>
      </c>
      <c r="B2" s="174"/>
      <c r="D2" s="175"/>
      <c r="E2" s="175"/>
      <c r="F2" s="176"/>
      <c r="G2" s="175"/>
      <c r="O2" s="177"/>
    </row>
    <row r="3" spans="1:15" ht="13.5" customHeight="1">
      <c r="A3" s="178"/>
      <c r="B3" s="174"/>
      <c r="D3" s="175"/>
      <c r="E3" s="175"/>
      <c r="F3" s="176"/>
      <c r="G3" s="175"/>
      <c r="O3" s="177"/>
    </row>
    <row r="4" spans="1:2" ht="12.75">
      <c r="A4" s="279"/>
      <c r="B4" s="280"/>
    </row>
    <row r="5" spans="1:119" ht="15.75" customHeight="1">
      <c r="A5" s="179" t="s">
        <v>9</v>
      </c>
      <c r="B5" s="281">
        <f>Исх!C42</f>
        <v>0.07</v>
      </c>
      <c r="C5" s="343">
        <v>2013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>
        <v>2014</v>
      </c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>
        <v>2015</v>
      </c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>
        <v>2016</v>
      </c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>
        <v>2017</v>
      </c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>
        <v>2018</v>
      </c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>
        <v>2019</v>
      </c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>
        <v>2020</v>
      </c>
      <c r="CQ5" s="343"/>
      <c r="CR5" s="343"/>
      <c r="CS5" s="343"/>
      <c r="CT5" s="343"/>
      <c r="CU5" s="343"/>
      <c r="CV5" s="343"/>
      <c r="CW5" s="343"/>
      <c r="CX5" s="343"/>
      <c r="CY5" s="343"/>
      <c r="CZ5" s="343"/>
      <c r="DA5" s="343"/>
      <c r="DB5" s="343"/>
      <c r="DC5" s="343">
        <v>2021</v>
      </c>
      <c r="DD5" s="343"/>
      <c r="DE5" s="343"/>
      <c r="DF5" s="343"/>
      <c r="DG5" s="343"/>
      <c r="DH5" s="343"/>
      <c r="DI5" s="343"/>
      <c r="DJ5" s="343"/>
      <c r="DK5" s="343"/>
      <c r="DL5" s="343"/>
      <c r="DM5" s="343"/>
      <c r="DN5" s="343"/>
      <c r="DO5" s="343"/>
    </row>
    <row r="6" spans="1:119" s="184" customFormat="1" ht="15" customHeight="1">
      <c r="A6" s="180" t="s">
        <v>7</v>
      </c>
      <c r="B6" s="181" t="s">
        <v>80</v>
      </c>
      <c r="C6" s="182">
        <v>1</v>
      </c>
      <c r="D6" s="182">
        <v>2</v>
      </c>
      <c r="E6" s="182">
        <f>D6+1</f>
        <v>3</v>
      </c>
      <c r="F6" s="182">
        <f aca="true" t="shared" si="0" ref="F6:N6">E6+1</f>
        <v>4</v>
      </c>
      <c r="G6" s="182">
        <f t="shared" si="0"/>
        <v>5</v>
      </c>
      <c r="H6" s="182">
        <f t="shared" si="0"/>
        <v>6</v>
      </c>
      <c r="I6" s="182">
        <f t="shared" si="0"/>
        <v>7</v>
      </c>
      <c r="J6" s="182">
        <f t="shared" si="0"/>
        <v>8</v>
      </c>
      <c r="K6" s="182">
        <f t="shared" si="0"/>
        <v>9</v>
      </c>
      <c r="L6" s="182">
        <f t="shared" si="0"/>
        <v>10</v>
      </c>
      <c r="M6" s="182">
        <f t="shared" si="0"/>
        <v>11</v>
      </c>
      <c r="N6" s="182">
        <f t="shared" si="0"/>
        <v>12</v>
      </c>
      <c r="O6" s="183" t="s">
        <v>0</v>
      </c>
      <c r="P6" s="182">
        <v>1</v>
      </c>
      <c r="Q6" s="182">
        <v>2</v>
      </c>
      <c r="R6" s="182">
        <f>Q6+1</f>
        <v>3</v>
      </c>
      <c r="S6" s="182">
        <f aca="true" t="shared" si="1" ref="S6:AA6">R6+1</f>
        <v>4</v>
      </c>
      <c r="T6" s="182">
        <f t="shared" si="1"/>
        <v>5</v>
      </c>
      <c r="U6" s="182">
        <f t="shared" si="1"/>
        <v>6</v>
      </c>
      <c r="V6" s="182">
        <f t="shared" si="1"/>
        <v>7</v>
      </c>
      <c r="W6" s="182">
        <f t="shared" si="1"/>
        <v>8</v>
      </c>
      <c r="X6" s="182">
        <f t="shared" si="1"/>
        <v>9</v>
      </c>
      <c r="Y6" s="182">
        <f t="shared" si="1"/>
        <v>10</v>
      </c>
      <c r="Z6" s="182">
        <f t="shared" si="1"/>
        <v>11</v>
      </c>
      <c r="AA6" s="182">
        <f t="shared" si="1"/>
        <v>12</v>
      </c>
      <c r="AB6" s="183" t="s">
        <v>0</v>
      </c>
      <c r="AC6" s="182">
        <v>1</v>
      </c>
      <c r="AD6" s="182">
        <v>2</v>
      </c>
      <c r="AE6" s="182">
        <f aca="true" t="shared" si="2" ref="AE6:BN6">AD6+1</f>
        <v>3</v>
      </c>
      <c r="AF6" s="182">
        <f t="shared" si="2"/>
        <v>4</v>
      </c>
      <c r="AG6" s="182">
        <f t="shared" si="2"/>
        <v>5</v>
      </c>
      <c r="AH6" s="182">
        <f t="shared" si="2"/>
        <v>6</v>
      </c>
      <c r="AI6" s="182">
        <f t="shared" si="2"/>
        <v>7</v>
      </c>
      <c r="AJ6" s="182">
        <f t="shared" si="2"/>
        <v>8</v>
      </c>
      <c r="AK6" s="182">
        <f t="shared" si="2"/>
        <v>9</v>
      </c>
      <c r="AL6" s="182">
        <f t="shared" si="2"/>
        <v>10</v>
      </c>
      <c r="AM6" s="182">
        <f t="shared" si="2"/>
        <v>11</v>
      </c>
      <c r="AN6" s="182">
        <f t="shared" si="2"/>
        <v>12</v>
      </c>
      <c r="AO6" s="183" t="s">
        <v>0</v>
      </c>
      <c r="AP6" s="182">
        <v>1</v>
      </c>
      <c r="AQ6" s="182">
        <v>2</v>
      </c>
      <c r="AR6" s="182">
        <f>AQ6+1</f>
        <v>3</v>
      </c>
      <c r="AS6" s="182">
        <f t="shared" si="2"/>
        <v>4</v>
      </c>
      <c r="AT6" s="182">
        <f t="shared" si="2"/>
        <v>5</v>
      </c>
      <c r="AU6" s="182">
        <f t="shared" si="2"/>
        <v>6</v>
      </c>
      <c r="AV6" s="182">
        <f t="shared" si="2"/>
        <v>7</v>
      </c>
      <c r="AW6" s="182">
        <f t="shared" si="2"/>
        <v>8</v>
      </c>
      <c r="AX6" s="182">
        <f t="shared" si="2"/>
        <v>9</v>
      </c>
      <c r="AY6" s="182">
        <f t="shared" si="2"/>
        <v>10</v>
      </c>
      <c r="AZ6" s="182">
        <f t="shared" si="2"/>
        <v>11</v>
      </c>
      <c r="BA6" s="182">
        <f t="shared" si="2"/>
        <v>12</v>
      </c>
      <c r="BB6" s="183" t="s">
        <v>0</v>
      </c>
      <c r="BC6" s="182">
        <v>1</v>
      </c>
      <c r="BD6" s="182">
        <v>2</v>
      </c>
      <c r="BE6" s="182">
        <f>BD6+1</f>
        <v>3</v>
      </c>
      <c r="BF6" s="182">
        <f t="shared" si="2"/>
        <v>4</v>
      </c>
      <c r="BG6" s="182">
        <f t="shared" si="2"/>
        <v>5</v>
      </c>
      <c r="BH6" s="182">
        <f t="shared" si="2"/>
        <v>6</v>
      </c>
      <c r="BI6" s="182">
        <f t="shared" si="2"/>
        <v>7</v>
      </c>
      <c r="BJ6" s="182">
        <f t="shared" si="2"/>
        <v>8</v>
      </c>
      <c r="BK6" s="182">
        <f t="shared" si="2"/>
        <v>9</v>
      </c>
      <c r="BL6" s="182">
        <f t="shared" si="2"/>
        <v>10</v>
      </c>
      <c r="BM6" s="182">
        <f t="shared" si="2"/>
        <v>11</v>
      </c>
      <c r="BN6" s="182">
        <f t="shared" si="2"/>
        <v>12</v>
      </c>
      <c r="BO6" s="183" t="s">
        <v>0</v>
      </c>
      <c r="BP6" s="182">
        <v>1</v>
      </c>
      <c r="BQ6" s="182">
        <v>2</v>
      </c>
      <c r="BR6" s="182">
        <f aca="true" t="shared" si="3" ref="BR6:CA6">BQ6+1</f>
        <v>3</v>
      </c>
      <c r="BS6" s="182">
        <f t="shared" si="3"/>
        <v>4</v>
      </c>
      <c r="BT6" s="182">
        <f t="shared" si="3"/>
        <v>5</v>
      </c>
      <c r="BU6" s="182">
        <f t="shared" si="3"/>
        <v>6</v>
      </c>
      <c r="BV6" s="182">
        <f t="shared" si="3"/>
        <v>7</v>
      </c>
      <c r="BW6" s="182">
        <f t="shared" si="3"/>
        <v>8</v>
      </c>
      <c r="BX6" s="182">
        <f t="shared" si="3"/>
        <v>9</v>
      </c>
      <c r="BY6" s="182">
        <f t="shared" si="3"/>
        <v>10</v>
      </c>
      <c r="BZ6" s="182">
        <f t="shared" si="3"/>
        <v>11</v>
      </c>
      <c r="CA6" s="182">
        <f t="shared" si="3"/>
        <v>12</v>
      </c>
      <c r="CB6" s="183" t="s">
        <v>0</v>
      </c>
      <c r="CC6" s="182">
        <v>1</v>
      </c>
      <c r="CD6" s="182">
        <v>2</v>
      </c>
      <c r="CE6" s="182">
        <f aca="true" t="shared" si="4" ref="CE6:CN6">CD6+1</f>
        <v>3</v>
      </c>
      <c r="CF6" s="182">
        <f t="shared" si="4"/>
        <v>4</v>
      </c>
      <c r="CG6" s="182">
        <f t="shared" si="4"/>
        <v>5</v>
      </c>
      <c r="CH6" s="182">
        <f t="shared" si="4"/>
        <v>6</v>
      </c>
      <c r="CI6" s="182">
        <f t="shared" si="4"/>
        <v>7</v>
      </c>
      <c r="CJ6" s="182">
        <f t="shared" si="4"/>
        <v>8</v>
      </c>
      <c r="CK6" s="182">
        <f t="shared" si="4"/>
        <v>9</v>
      </c>
      <c r="CL6" s="182">
        <f t="shared" si="4"/>
        <v>10</v>
      </c>
      <c r="CM6" s="182">
        <f t="shared" si="4"/>
        <v>11</v>
      </c>
      <c r="CN6" s="182">
        <f t="shared" si="4"/>
        <v>12</v>
      </c>
      <c r="CO6" s="183" t="s">
        <v>0</v>
      </c>
      <c r="CP6" s="182">
        <v>1</v>
      </c>
      <c r="CQ6" s="182">
        <v>2</v>
      </c>
      <c r="CR6" s="182">
        <f aca="true" t="shared" si="5" ref="CR6:DA6">CQ6+1</f>
        <v>3</v>
      </c>
      <c r="CS6" s="182">
        <f t="shared" si="5"/>
        <v>4</v>
      </c>
      <c r="CT6" s="182">
        <f t="shared" si="5"/>
        <v>5</v>
      </c>
      <c r="CU6" s="182">
        <f t="shared" si="5"/>
        <v>6</v>
      </c>
      <c r="CV6" s="182">
        <f t="shared" si="5"/>
        <v>7</v>
      </c>
      <c r="CW6" s="182">
        <f t="shared" si="5"/>
        <v>8</v>
      </c>
      <c r="CX6" s="182">
        <f t="shared" si="5"/>
        <v>9</v>
      </c>
      <c r="CY6" s="182">
        <f t="shared" si="5"/>
        <v>10</v>
      </c>
      <c r="CZ6" s="182">
        <f t="shared" si="5"/>
        <v>11</v>
      </c>
      <c r="DA6" s="182">
        <f t="shared" si="5"/>
        <v>12</v>
      </c>
      <c r="DB6" s="183" t="s">
        <v>0</v>
      </c>
      <c r="DC6" s="182">
        <v>1</v>
      </c>
      <c r="DD6" s="182">
        <v>2</v>
      </c>
      <c r="DE6" s="182">
        <f aca="true" t="shared" si="6" ref="DE6:DN6">DD6+1</f>
        <v>3</v>
      </c>
      <c r="DF6" s="182">
        <f t="shared" si="6"/>
        <v>4</v>
      </c>
      <c r="DG6" s="182">
        <f t="shared" si="6"/>
        <v>5</v>
      </c>
      <c r="DH6" s="182">
        <f t="shared" si="6"/>
        <v>6</v>
      </c>
      <c r="DI6" s="182">
        <f t="shared" si="6"/>
        <v>7</v>
      </c>
      <c r="DJ6" s="182">
        <f t="shared" si="6"/>
        <v>8</v>
      </c>
      <c r="DK6" s="182">
        <f t="shared" si="6"/>
        <v>9</v>
      </c>
      <c r="DL6" s="182">
        <f t="shared" si="6"/>
        <v>10</v>
      </c>
      <c r="DM6" s="182">
        <f t="shared" si="6"/>
        <v>11</v>
      </c>
      <c r="DN6" s="182">
        <f t="shared" si="6"/>
        <v>12</v>
      </c>
      <c r="DO6" s="183" t="s">
        <v>0</v>
      </c>
    </row>
    <row r="7" spans="1:120" ht="12.75">
      <c r="A7" s="180" t="s">
        <v>98</v>
      </c>
      <c r="B7" s="185">
        <f>O7+AB7+AO7+BB7+BO7+CB7+CO7+DB7+DO7</f>
        <v>599.25</v>
      </c>
      <c r="C7" s="186">
        <f>C20+C35+C50</f>
        <v>0</v>
      </c>
      <c r="D7" s="186">
        <f aca="true" t="shared" si="7" ref="D7:N7">D20+D35+D50</f>
        <v>0</v>
      </c>
      <c r="E7" s="186">
        <f t="shared" si="7"/>
        <v>0</v>
      </c>
      <c r="F7" s="186">
        <f t="shared" si="7"/>
        <v>0</v>
      </c>
      <c r="G7" s="186">
        <f t="shared" si="7"/>
        <v>0</v>
      </c>
      <c r="H7" s="186">
        <f t="shared" si="7"/>
        <v>0</v>
      </c>
      <c r="I7" s="186">
        <f t="shared" si="7"/>
        <v>0</v>
      </c>
      <c r="J7" s="186">
        <f t="shared" si="7"/>
        <v>0</v>
      </c>
      <c r="K7" s="186">
        <f t="shared" si="7"/>
        <v>0</v>
      </c>
      <c r="L7" s="186">
        <f t="shared" si="7"/>
        <v>599.25</v>
      </c>
      <c r="M7" s="186">
        <f t="shared" si="7"/>
        <v>0</v>
      </c>
      <c r="N7" s="186">
        <f t="shared" si="7"/>
        <v>0</v>
      </c>
      <c r="O7" s="187">
        <f>SUM(C7:N7)</f>
        <v>599.25</v>
      </c>
      <c r="P7" s="186">
        <f aca="true" t="shared" si="8" ref="P7:AA7">P20+P35+P50</f>
        <v>0</v>
      </c>
      <c r="Q7" s="186">
        <f t="shared" si="8"/>
        <v>0</v>
      </c>
      <c r="R7" s="186">
        <f t="shared" si="8"/>
        <v>0</v>
      </c>
      <c r="S7" s="186">
        <f t="shared" si="8"/>
        <v>0</v>
      </c>
      <c r="T7" s="186">
        <f t="shared" si="8"/>
        <v>0</v>
      </c>
      <c r="U7" s="186">
        <f t="shared" si="8"/>
        <v>0</v>
      </c>
      <c r="V7" s="186">
        <f t="shared" si="8"/>
        <v>0</v>
      </c>
      <c r="W7" s="186">
        <f t="shared" si="8"/>
        <v>0</v>
      </c>
      <c r="X7" s="186">
        <f t="shared" si="8"/>
        <v>0</v>
      </c>
      <c r="Y7" s="186">
        <f t="shared" si="8"/>
        <v>0</v>
      </c>
      <c r="Z7" s="186">
        <f t="shared" si="8"/>
        <v>0</v>
      </c>
      <c r="AA7" s="186">
        <f t="shared" si="8"/>
        <v>0</v>
      </c>
      <c r="AB7" s="187">
        <f>SUM(P7:AA7)</f>
        <v>0</v>
      </c>
      <c r="AC7" s="186">
        <f aca="true" t="shared" si="9" ref="AC7:AN7">AC20+AC35+AC50</f>
        <v>0</v>
      </c>
      <c r="AD7" s="186">
        <f t="shared" si="9"/>
        <v>0</v>
      </c>
      <c r="AE7" s="186">
        <f t="shared" si="9"/>
        <v>0</v>
      </c>
      <c r="AF7" s="186">
        <f t="shared" si="9"/>
        <v>0</v>
      </c>
      <c r="AG7" s="186">
        <f t="shared" si="9"/>
        <v>0</v>
      </c>
      <c r="AH7" s="186">
        <f t="shared" si="9"/>
        <v>0</v>
      </c>
      <c r="AI7" s="186">
        <f t="shared" si="9"/>
        <v>0</v>
      </c>
      <c r="AJ7" s="186">
        <f t="shared" si="9"/>
        <v>0</v>
      </c>
      <c r="AK7" s="186">
        <f t="shared" si="9"/>
        <v>0</v>
      </c>
      <c r="AL7" s="186">
        <f t="shared" si="9"/>
        <v>0</v>
      </c>
      <c r="AM7" s="186">
        <f t="shared" si="9"/>
        <v>0</v>
      </c>
      <c r="AN7" s="186">
        <f t="shared" si="9"/>
        <v>0</v>
      </c>
      <c r="AO7" s="187">
        <f>SUM(AC7:AN7)</f>
        <v>0</v>
      </c>
      <c r="AP7" s="186">
        <f aca="true" t="shared" si="10" ref="AP7:BA7">AP20+AP35+AP50</f>
        <v>0</v>
      </c>
      <c r="AQ7" s="186">
        <f t="shared" si="10"/>
        <v>0</v>
      </c>
      <c r="AR7" s="186">
        <f t="shared" si="10"/>
        <v>0</v>
      </c>
      <c r="AS7" s="186">
        <f t="shared" si="10"/>
        <v>0</v>
      </c>
      <c r="AT7" s="186">
        <f t="shared" si="10"/>
        <v>0</v>
      </c>
      <c r="AU7" s="186">
        <f t="shared" si="10"/>
        <v>0</v>
      </c>
      <c r="AV7" s="186">
        <f t="shared" si="10"/>
        <v>0</v>
      </c>
      <c r="AW7" s="186">
        <f t="shared" si="10"/>
        <v>0</v>
      </c>
      <c r="AX7" s="186">
        <f t="shared" si="10"/>
        <v>0</v>
      </c>
      <c r="AY7" s="186">
        <f t="shared" si="10"/>
        <v>0</v>
      </c>
      <c r="AZ7" s="186">
        <f t="shared" si="10"/>
        <v>0</v>
      </c>
      <c r="BA7" s="186">
        <f t="shared" si="10"/>
        <v>0</v>
      </c>
      <c r="BB7" s="187">
        <f>SUM(AP7:BA7)</f>
        <v>0</v>
      </c>
      <c r="BC7" s="186">
        <f aca="true" t="shared" si="11" ref="BC7:BN7">BC20+BC35+BC50</f>
        <v>0</v>
      </c>
      <c r="BD7" s="186">
        <f t="shared" si="11"/>
        <v>0</v>
      </c>
      <c r="BE7" s="186">
        <f t="shared" si="11"/>
        <v>0</v>
      </c>
      <c r="BF7" s="186">
        <f t="shared" si="11"/>
        <v>0</v>
      </c>
      <c r="BG7" s="186">
        <f t="shared" si="11"/>
        <v>0</v>
      </c>
      <c r="BH7" s="186">
        <f t="shared" si="11"/>
        <v>0</v>
      </c>
      <c r="BI7" s="186">
        <f t="shared" si="11"/>
        <v>0</v>
      </c>
      <c r="BJ7" s="186">
        <f t="shared" si="11"/>
        <v>0</v>
      </c>
      <c r="BK7" s="186">
        <f t="shared" si="11"/>
        <v>0</v>
      </c>
      <c r="BL7" s="186">
        <f t="shared" si="11"/>
        <v>0</v>
      </c>
      <c r="BM7" s="186">
        <f t="shared" si="11"/>
        <v>0</v>
      </c>
      <c r="BN7" s="186">
        <f t="shared" si="11"/>
        <v>0</v>
      </c>
      <c r="BO7" s="187">
        <f>SUM(BC7:BN7)</f>
        <v>0</v>
      </c>
      <c r="BP7" s="186">
        <f aca="true" t="shared" si="12" ref="BP7:CA7">BP20+BP35+BP50</f>
        <v>0</v>
      </c>
      <c r="BQ7" s="186">
        <f t="shared" si="12"/>
        <v>0</v>
      </c>
      <c r="BR7" s="186">
        <f t="shared" si="12"/>
        <v>0</v>
      </c>
      <c r="BS7" s="186">
        <f t="shared" si="12"/>
        <v>0</v>
      </c>
      <c r="BT7" s="186">
        <f t="shared" si="12"/>
        <v>0</v>
      </c>
      <c r="BU7" s="186">
        <f t="shared" si="12"/>
        <v>0</v>
      </c>
      <c r="BV7" s="186">
        <f t="shared" si="12"/>
        <v>0</v>
      </c>
      <c r="BW7" s="186">
        <f t="shared" si="12"/>
        <v>0</v>
      </c>
      <c r="BX7" s="186">
        <f t="shared" si="12"/>
        <v>0</v>
      </c>
      <c r="BY7" s="186">
        <f t="shared" si="12"/>
        <v>0</v>
      </c>
      <c r="BZ7" s="186">
        <f t="shared" si="12"/>
        <v>0</v>
      </c>
      <c r="CA7" s="186">
        <f t="shared" si="12"/>
        <v>0</v>
      </c>
      <c r="CB7" s="187">
        <f>SUM(BP7:CA7)</f>
        <v>0</v>
      </c>
      <c r="CC7" s="186">
        <f aca="true" t="shared" si="13" ref="CC7:CN7">CC20+CC35+CC50</f>
        <v>0</v>
      </c>
      <c r="CD7" s="186">
        <f t="shared" si="13"/>
        <v>0</v>
      </c>
      <c r="CE7" s="186">
        <f t="shared" si="13"/>
        <v>0</v>
      </c>
      <c r="CF7" s="186">
        <f t="shared" si="13"/>
        <v>0</v>
      </c>
      <c r="CG7" s="186">
        <f t="shared" si="13"/>
        <v>0</v>
      </c>
      <c r="CH7" s="186">
        <f t="shared" si="13"/>
        <v>0</v>
      </c>
      <c r="CI7" s="186">
        <f t="shared" si="13"/>
        <v>0</v>
      </c>
      <c r="CJ7" s="186">
        <f t="shared" si="13"/>
        <v>0</v>
      </c>
      <c r="CK7" s="186">
        <f t="shared" si="13"/>
        <v>0</v>
      </c>
      <c r="CL7" s="186">
        <f t="shared" si="13"/>
        <v>0</v>
      </c>
      <c r="CM7" s="186">
        <f t="shared" si="13"/>
        <v>0</v>
      </c>
      <c r="CN7" s="186">
        <f t="shared" si="13"/>
        <v>0</v>
      </c>
      <c r="CO7" s="187">
        <f>SUM(CC7:CN7)</f>
        <v>0</v>
      </c>
      <c r="CP7" s="186">
        <f aca="true" t="shared" si="14" ref="CP7:DA7">CP20+CP35+CP50</f>
        <v>0</v>
      </c>
      <c r="CQ7" s="186">
        <f t="shared" si="14"/>
        <v>0</v>
      </c>
      <c r="CR7" s="186">
        <f t="shared" si="14"/>
        <v>0</v>
      </c>
      <c r="CS7" s="186">
        <f t="shared" si="14"/>
        <v>0</v>
      </c>
      <c r="CT7" s="186">
        <f t="shared" si="14"/>
        <v>0</v>
      </c>
      <c r="CU7" s="186">
        <f t="shared" si="14"/>
        <v>0</v>
      </c>
      <c r="CV7" s="186">
        <f t="shared" si="14"/>
        <v>0</v>
      </c>
      <c r="CW7" s="186">
        <f t="shared" si="14"/>
        <v>0</v>
      </c>
      <c r="CX7" s="186">
        <f t="shared" si="14"/>
        <v>0</v>
      </c>
      <c r="CY7" s="186">
        <f t="shared" si="14"/>
        <v>0</v>
      </c>
      <c r="CZ7" s="186">
        <f t="shared" si="14"/>
        <v>0</v>
      </c>
      <c r="DA7" s="186">
        <f t="shared" si="14"/>
        <v>0</v>
      </c>
      <c r="DB7" s="187">
        <f>SUM(CP7:DA7)</f>
        <v>0</v>
      </c>
      <c r="DC7" s="186">
        <f aca="true" t="shared" si="15" ref="DC7:DN7">DC20+DC35+DC50</f>
        <v>0</v>
      </c>
      <c r="DD7" s="186">
        <f t="shared" si="15"/>
        <v>0</v>
      </c>
      <c r="DE7" s="186">
        <f t="shared" si="15"/>
        <v>0</v>
      </c>
      <c r="DF7" s="186">
        <f t="shared" si="15"/>
        <v>0</v>
      </c>
      <c r="DG7" s="186">
        <f t="shared" si="15"/>
        <v>0</v>
      </c>
      <c r="DH7" s="186">
        <f t="shared" si="15"/>
        <v>0</v>
      </c>
      <c r="DI7" s="186">
        <f t="shared" si="15"/>
        <v>0</v>
      </c>
      <c r="DJ7" s="186">
        <f t="shared" si="15"/>
        <v>0</v>
      </c>
      <c r="DK7" s="186">
        <f t="shared" si="15"/>
        <v>0</v>
      </c>
      <c r="DL7" s="186">
        <f t="shared" si="15"/>
        <v>0</v>
      </c>
      <c r="DM7" s="186">
        <f t="shared" si="15"/>
        <v>0</v>
      </c>
      <c r="DN7" s="186">
        <f t="shared" si="15"/>
        <v>0</v>
      </c>
      <c r="DO7" s="187">
        <f>SUM(DC7:DN7)</f>
        <v>0</v>
      </c>
      <c r="DP7" s="188"/>
    </row>
    <row r="8" spans="1:119" s="189" customFormat="1" ht="20.25" customHeight="1">
      <c r="A8" s="180" t="s">
        <v>27</v>
      </c>
      <c r="B8" s="185">
        <f>O8+AB8+AO8+BB8+BO8+CB8+CO8+DB8+DO8</f>
        <v>0</v>
      </c>
      <c r="C8" s="186">
        <f aca="true" t="shared" si="16" ref="C8:N12">C21+C36+C51</f>
        <v>0</v>
      </c>
      <c r="D8" s="186">
        <f t="shared" si="16"/>
        <v>0</v>
      </c>
      <c r="E8" s="186">
        <f t="shared" si="16"/>
        <v>0</v>
      </c>
      <c r="F8" s="186">
        <f t="shared" si="16"/>
        <v>0</v>
      </c>
      <c r="G8" s="186">
        <f t="shared" si="16"/>
        <v>0</v>
      </c>
      <c r="H8" s="186">
        <f t="shared" si="16"/>
        <v>0</v>
      </c>
      <c r="I8" s="186">
        <f t="shared" si="16"/>
        <v>0</v>
      </c>
      <c r="J8" s="186">
        <f t="shared" si="16"/>
        <v>0</v>
      </c>
      <c r="K8" s="186">
        <f t="shared" si="16"/>
        <v>0</v>
      </c>
      <c r="L8" s="186">
        <f t="shared" si="16"/>
        <v>0</v>
      </c>
      <c r="M8" s="186">
        <f t="shared" si="16"/>
        <v>0</v>
      </c>
      <c r="N8" s="186">
        <f t="shared" si="16"/>
        <v>0</v>
      </c>
      <c r="O8" s="187">
        <f>SUM(C8:N8)</f>
        <v>0</v>
      </c>
      <c r="P8" s="186">
        <f aca="true" t="shared" si="17" ref="P8:AA8">P21+P36+P51</f>
        <v>0</v>
      </c>
      <c r="Q8" s="186">
        <f t="shared" si="17"/>
        <v>0</v>
      </c>
      <c r="R8" s="186">
        <f t="shared" si="17"/>
        <v>0</v>
      </c>
      <c r="S8" s="186">
        <f t="shared" si="17"/>
        <v>0</v>
      </c>
      <c r="T8" s="186">
        <f t="shared" si="17"/>
        <v>0</v>
      </c>
      <c r="U8" s="186">
        <f t="shared" si="17"/>
        <v>0</v>
      </c>
      <c r="V8" s="186">
        <f t="shared" si="17"/>
        <v>0</v>
      </c>
      <c r="W8" s="186">
        <f t="shared" si="17"/>
        <v>0</v>
      </c>
      <c r="X8" s="186">
        <f t="shared" si="17"/>
        <v>0</v>
      </c>
      <c r="Y8" s="186">
        <f t="shared" si="17"/>
        <v>0</v>
      </c>
      <c r="Z8" s="186">
        <f t="shared" si="17"/>
        <v>0</v>
      </c>
      <c r="AA8" s="186">
        <f t="shared" si="17"/>
        <v>0</v>
      </c>
      <c r="AB8" s="187">
        <f>SUM(P8:AA8)</f>
        <v>0</v>
      </c>
      <c r="AC8" s="186">
        <f aca="true" t="shared" si="18" ref="AC8:AN8">AC21+AC36+AC51</f>
        <v>0</v>
      </c>
      <c r="AD8" s="186">
        <f t="shared" si="18"/>
        <v>0</v>
      </c>
      <c r="AE8" s="186">
        <f t="shared" si="18"/>
        <v>0</v>
      </c>
      <c r="AF8" s="186">
        <f t="shared" si="18"/>
        <v>0</v>
      </c>
      <c r="AG8" s="186">
        <f t="shared" si="18"/>
        <v>0</v>
      </c>
      <c r="AH8" s="186">
        <f t="shared" si="18"/>
        <v>0</v>
      </c>
      <c r="AI8" s="186">
        <f t="shared" si="18"/>
        <v>0</v>
      </c>
      <c r="AJ8" s="186">
        <f t="shared" si="18"/>
        <v>0</v>
      </c>
      <c r="AK8" s="186">
        <f t="shared" si="18"/>
        <v>0</v>
      </c>
      <c r="AL8" s="186">
        <f t="shared" si="18"/>
        <v>0</v>
      </c>
      <c r="AM8" s="186">
        <f t="shared" si="18"/>
        <v>0</v>
      </c>
      <c r="AN8" s="186">
        <f t="shared" si="18"/>
        <v>0</v>
      </c>
      <c r="AO8" s="187">
        <f>SUM(AC8:AN8)</f>
        <v>0</v>
      </c>
      <c r="AP8" s="186">
        <f aca="true" t="shared" si="19" ref="AP8:BA8">AP21+AP36+AP51</f>
        <v>0</v>
      </c>
      <c r="AQ8" s="186">
        <f t="shared" si="19"/>
        <v>0</v>
      </c>
      <c r="AR8" s="186">
        <f t="shared" si="19"/>
        <v>0</v>
      </c>
      <c r="AS8" s="186">
        <f t="shared" si="19"/>
        <v>0</v>
      </c>
      <c r="AT8" s="186">
        <f t="shared" si="19"/>
        <v>0</v>
      </c>
      <c r="AU8" s="186">
        <f t="shared" si="19"/>
        <v>0</v>
      </c>
      <c r="AV8" s="186">
        <f t="shared" si="19"/>
        <v>0</v>
      </c>
      <c r="AW8" s="186">
        <f t="shared" si="19"/>
        <v>0</v>
      </c>
      <c r="AX8" s="186">
        <f t="shared" si="19"/>
        <v>0</v>
      </c>
      <c r="AY8" s="186">
        <f t="shared" si="19"/>
        <v>0</v>
      </c>
      <c r="AZ8" s="186">
        <f t="shared" si="19"/>
        <v>0</v>
      </c>
      <c r="BA8" s="186">
        <f t="shared" si="19"/>
        <v>0</v>
      </c>
      <c r="BB8" s="187">
        <f>SUM(AP8:BA8)</f>
        <v>0</v>
      </c>
      <c r="BC8" s="186">
        <f aca="true" t="shared" si="20" ref="BC8:BN8">BC21+BC36+BC51</f>
        <v>0</v>
      </c>
      <c r="BD8" s="186">
        <f t="shared" si="20"/>
        <v>0</v>
      </c>
      <c r="BE8" s="186">
        <f t="shared" si="20"/>
        <v>0</v>
      </c>
      <c r="BF8" s="186">
        <f t="shared" si="20"/>
        <v>0</v>
      </c>
      <c r="BG8" s="186">
        <f t="shared" si="20"/>
        <v>0</v>
      </c>
      <c r="BH8" s="186">
        <f t="shared" si="20"/>
        <v>0</v>
      </c>
      <c r="BI8" s="186">
        <f t="shared" si="20"/>
        <v>0</v>
      </c>
      <c r="BJ8" s="186">
        <f t="shared" si="20"/>
        <v>0</v>
      </c>
      <c r="BK8" s="186">
        <f t="shared" si="20"/>
        <v>0</v>
      </c>
      <c r="BL8" s="186">
        <f t="shared" si="20"/>
        <v>0</v>
      </c>
      <c r="BM8" s="186">
        <f t="shared" si="20"/>
        <v>0</v>
      </c>
      <c r="BN8" s="186">
        <f t="shared" si="20"/>
        <v>0</v>
      </c>
      <c r="BO8" s="187">
        <f>SUM(BC8:BN8)</f>
        <v>0</v>
      </c>
      <c r="BP8" s="186">
        <f aca="true" t="shared" si="21" ref="BP8:CA8">BP21+BP36+BP51</f>
        <v>0</v>
      </c>
      <c r="BQ8" s="186">
        <f t="shared" si="21"/>
        <v>0</v>
      </c>
      <c r="BR8" s="186">
        <f t="shared" si="21"/>
        <v>0</v>
      </c>
      <c r="BS8" s="186">
        <f t="shared" si="21"/>
        <v>0</v>
      </c>
      <c r="BT8" s="186">
        <f t="shared" si="21"/>
        <v>0</v>
      </c>
      <c r="BU8" s="186">
        <f t="shared" si="21"/>
        <v>0</v>
      </c>
      <c r="BV8" s="186">
        <f t="shared" si="21"/>
        <v>0</v>
      </c>
      <c r="BW8" s="186">
        <f t="shared" si="21"/>
        <v>0</v>
      </c>
      <c r="BX8" s="186">
        <f t="shared" si="21"/>
        <v>0</v>
      </c>
      <c r="BY8" s="186">
        <f t="shared" si="21"/>
        <v>0</v>
      </c>
      <c r="BZ8" s="186">
        <f t="shared" si="21"/>
        <v>0</v>
      </c>
      <c r="CA8" s="186">
        <f t="shared" si="21"/>
        <v>0</v>
      </c>
      <c r="CB8" s="187">
        <f>SUM(BP8:CA8)</f>
        <v>0</v>
      </c>
      <c r="CC8" s="186">
        <f aca="true" t="shared" si="22" ref="CC8:CN8">CC21+CC36+CC51</f>
        <v>0</v>
      </c>
      <c r="CD8" s="186">
        <f t="shared" si="22"/>
        <v>0</v>
      </c>
      <c r="CE8" s="186">
        <f t="shared" si="22"/>
        <v>0</v>
      </c>
      <c r="CF8" s="186">
        <f t="shared" si="22"/>
        <v>0</v>
      </c>
      <c r="CG8" s="186">
        <f t="shared" si="22"/>
        <v>0</v>
      </c>
      <c r="CH8" s="186">
        <f t="shared" si="22"/>
        <v>0</v>
      </c>
      <c r="CI8" s="186">
        <f t="shared" si="22"/>
        <v>0</v>
      </c>
      <c r="CJ8" s="186">
        <f t="shared" si="22"/>
        <v>0</v>
      </c>
      <c r="CK8" s="186">
        <f t="shared" si="22"/>
        <v>0</v>
      </c>
      <c r="CL8" s="186">
        <f t="shared" si="22"/>
        <v>0</v>
      </c>
      <c r="CM8" s="186">
        <f t="shared" si="22"/>
        <v>0</v>
      </c>
      <c r="CN8" s="186">
        <f t="shared" si="22"/>
        <v>0</v>
      </c>
      <c r="CO8" s="187">
        <f>SUM(CC8:CN8)</f>
        <v>0</v>
      </c>
      <c r="CP8" s="186">
        <f aca="true" t="shared" si="23" ref="CP8:DA8">CP21+CP36+CP51</f>
        <v>0</v>
      </c>
      <c r="CQ8" s="186">
        <f t="shared" si="23"/>
        <v>0</v>
      </c>
      <c r="CR8" s="186">
        <f t="shared" si="23"/>
        <v>0</v>
      </c>
      <c r="CS8" s="186">
        <f t="shared" si="23"/>
        <v>0</v>
      </c>
      <c r="CT8" s="186">
        <f t="shared" si="23"/>
        <v>0</v>
      </c>
      <c r="CU8" s="186">
        <f t="shared" si="23"/>
        <v>0</v>
      </c>
      <c r="CV8" s="186">
        <f t="shared" si="23"/>
        <v>0</v>
      </c>
      <c r="CW8" s="186">
        <f t="shared" si="23"/>
        <v>0</v>
      </c>
      <c r="CX8" s="186">
        <f t="shared" si="23"/>
        <v>0</v>
      </c>
      <c r="CY8" s="186">
        <f t="shared" si="23"/>
        <v>0</v>
      </c>
      <c r="CZ8" s="186">
        <f t="shared" si="23"/>
        <v>0</v>
      </c>
      <c r="DA8" s="186">
        <f t="shared" si="23"/>
        <v>0</v>
      </c>
      <c r="DB8" s="187">
        <f>SUM(CP8:DA8)</f>
        <v>0</v>
      </c>
      <c r="DC8" s="186">
        <f aca="true" t="shared" si="24" ref="DC8:DN8">DC21+DC36+DC51</f>
        <v>0</v>
      </c>
      <c r="DD8" s="186">
        <f t="shared" si="24"/>
        <v>0</v>
      </c>
      <c r="DE8" s="186">
        <f t="shared" si="24"/>
        <v>0</v>
      </c>
      <c r="DF8" s="186">
        <f t="shared" si="24"/>
        <v>0</v>
      </c>
      <c r="DG8" s="186">
        <f t="shared" si="24"/>
        <v>0</v>
      </c>
      <c r="DH8" s="186">
        <f t="shared" si="24"/>
        <v>0</v>
      </c>
      <c r="DI8" s="186">
        <f t="shared" si="24"/>
        <v>0</v>
      </c>
      <c r="DJ8" s="186">
        <f t="shared" si="24"/>
        <v>0</v>
      </c>
      <c r="DK8" s="186">
        <f t="shared" si="24"/>
        <v>0</v>
      </c>
      <c r="DL8" s="186">
        <f t="shared" si="24"/>
        <v>0</v>
      </c>
      <c r="DM8" s="186">
        <f t="shared" si="24"/>
        <v>0</v>
      </c>
      <c r="DN8" s="186">
        <f t="shared" si="24"/>
        <v>0</v>
      </c>
      <c r="DO8" s="187">
        <f>SUM(DC8:DN8)</f>
        <v>0</v>
      </c>
    </row>
    <row r="9" spans="1:119" s="189" customFormat="1" ht="12.75">
      <c r="A9" s="190" t="s">
        <v>10</v>
      </c>
      <c r="B9" s="185">
        <f>O9+AB9+AO9+BB9+BO9+CB9+CO9+DB9+DO9</f>
        <v>71.75479382783054</v>
      </c>
      <c r="C9" s="186">
        <f t="shared" si="16"/>
        <v>0</v>
      </c>
      <c r="D9" s="186">
        <f t="shared" si="16"/>
        <v>0</v>
      </c>
      <c r="E9" s="186">
        <f t="shared" si="16"/>
        <v>0</v>
      </c>
      <c r="F9" s="186">
        <f t="shared" si="16"/>
        <v>0</v>
      </c>
      <c r="G9" s="186">
        <f t="shared" si="16"/>
        <v>0</v>
      </c>
      <c r="H9" s="186">
        <f t="shared" si="16"/>
        <v>0</v>
      </c>
      <c r="I9" s="186">
        <f t="shared" si="16"/>
        <v>0</v>
      </c>
      <c r="J9" s="186">
        <f t="shared" si="16"/>
        <v>0</v>
      </c>
      <c r="K9" s="186">
        <f t="shared" si="16"/>
        <v>0</v>
      </c>
      <c r="L9" s="186">
        <f t="shared" si="16"/>
        <v>0</v>
      </c>
      <c r="M9" s="186">
        <f t="shared" si="16"/>
        <v>3.4956250000000004</v>
      </c>
      <c r="N9" s="186">
        <f t="shared" si="16"/>
        <v>3.4956250000000004</v>
      </c>
      <c r="O9" s="187">
        <f>SUM(C9:N9)</f>
        <v>6.991250000000001</v>
      </c>
      <c r="P9" s="186">
        <f aca="true" t="shared" si="25" ref="P9:AA9">P22+P37+P52</f>
        <v>3.4956250000000004</v>
      </c>
      <c r="Q9" s="186">
        <f t="shared" si="25"/>
        <v>3.4956250000000004</v>
      </c>
      <c r="R9" s="186">
        <f t="shared" si="25"/>
        <v>3.399257927858718</v>
      </c>
      <c r="S9" s="186">
        <f t="shared" si="25"/>
        <v>3.302328714463277</v>
      </c>
      <c r="T9" s="186">
        <f t="shared" si="25"/>
        <v>3.2048340806563638</v>
      </c>
      <c r="U9" s="186">
        <f t="shared" si="25"/>
        <v>3.1067707281522434</v>
      </c>
      <c r="V9" s="186">
        <f t="shared" si="25"/>
        <v>3.0081353394251824</v>
      </c>
      <c r="W9" s="186">
        <f t="shared" si="25"/>
        <v>2.908924577597213</v>
      </c>
      <c r="X9" s="186">
        <f t="shared" si="25"/>
        <v>2.8091350863252473</v>
      </c>
      <c r="Y9" s="186">
        <f t="shared" si="25"/>
        <v>2.7087634896875286</v>
      </c>
      <c r="Z9" s="186">
        <f t="shared" si="25"/>
        <v>2.6078063920694228</v>
      </c>
      <c r="AA9" s="186">
        <f t="shared" si="25"/>
        <v>2.5062603780485446</v>
      </c>
      <c r="AB9" s="187">
        <f>SUM(P9:AA9)</f>
        <v>36.553466714283736</v>
      </c>
      <c r="AC9" s="186">
        <f aca="true" t="shared" si="26" ref="AC9:AN9">AC22+AC37+AC52</f>
        <v>2.404122012279212</v>
      </c>
      <c r="AD9" s="186">
        <f t="shared" si="26"/>
        <v>2.3013878393762246</v>
      </c>
      <c r="AE9" s="186">
        <f t="shared" si="26"/>
        <v>2.19805438379797</v>
      </c>
      <c r="AF9" s="186">
        <f t="shared" si="26"/>
        <v>2.094118149728842</v>
      </c>
      <c r="AG9" s="186">
        <f t="shared" si="26"/>
        <v>1.9895756209609774</v>
      </c>
      <c r="AH9" s="186">
        <f t="shared" si="26"/>
        <v>1.8844232607753002</v>
      </c>
      <c r="AI9" s="186">
        <f t="shared" si="26"/>
        <v>1.7786575118218735</v>
      </c>
      <c r="AJ9" s="186">
        <f t="shared" si="26"/>
        <v>1.6722747959995516</v>
      </c>
      <c r="AK9" s="186">
        <f t="shared" si="26"/>
        <v>1.565271514334933</v>
      </c>
      <c r="AL9" s="186">
        <f t="shared" si="26"/>
        <v>1.4576440468606042</v>
      </c>
      <c r="AM9" s="186">
        <f t="shared" si="26"/>
        <v>1.3493887524926749</v>
      </c>
      <c r="AN9" s="186">
        <f t="shared" si="26"/>
        <v>1.2405019689075993</v>
      </c>
      <c r="AO9" s="187">
        <f>SUM(AC9:AN9)</f>
        <v>21.935419857335763</v>
      </c>
      <c r="AP9" s="186">
        <f aca="true" t="shared" si="27" ref="AP9:BA9">AP22+AP37+AP52</f>
        <v>1.1309800124182774</v>
      </c>
      <c r="AQ9" s="186">
        <f t="shared" si="27"/>
        <v>1.0208191778494347</v>
      </c>
      <c r="AR9" s="186">
        <f t="shared" si="27"/>
        <v>0.9100157384122736</v>
      </c>
      <c r="AS9" s="186">
        <f t="shared" si="27"/>
        <v>0.7985659455783957</v>
      </c>
      <c r="AT9" s="186">
        <f t="shared" si="27"/>
        <v>0.6864660289529869</v>
      </c>
      <c r="AU9" s="186">
        <f t="shared" si="27"/>
        <v>0.5737121961472632</v>
      </c>
      <c r="AV9" s="186">
        <f t="shared" si="27"/>
        <v>0.4603006326501729</v>
      </c>
      <c r="AW9" s="186">
        <f t="shared" si="27"/>
        <v>0.34622750169934946</v>
      </c>
      <c r="AX9" s="186">
        <f t="shared" si="27"/>
        <v>0.2314889441513129</v>
      </c>
      <c r="AY9" s="186">
        <f t="shared" si="27"/>
        <v>0.1160810783509128</v>
      </c>
      <c r="AZ9" s="186">
        <f t="shared" si="27"/>
        <v>1.0362081563168127E-14</v>
      </c>
      <c r="BA9" s="186">
        <f t="shared" si="27"/>
        <v>1.0362081563168127E-14</v>
      </c>
      <c r="BB9" s="187">
        <f>SUM(AP9:BA9)</f>
        <v>6.274657256210402</v>
      </c>
      <c r="BC9" s="186">
        <f aca="true" t="shared" si="28" ref="BC9:BN9">BC22+BC37+BC52</f>
        <v>1.0362081563168127E-14</v>
      </c>
      <c r="BD9" s="186">
        <f t="shared" si="28"/>
        <v>1.0362081563168127E-14</v>
      </c>
      <c r="BE9" s="186">
        <f t="shared" si="28"/>
        <v>1.0362081563168127E-14</v>
      </c>
      <c r="BF9" s="186">
        <f t="shared" si="28"/>
        <v>1.0362081563168127E-14</v>
      </c>
      <c r="BG9" s="186">
        <f t="shared" si="28"/>
        <v>1.0362081563168127E-14</v>
      </c>
      <c r="BH9" s="186">
        <f t="shared" si="28"/>
        <v>1.0362081563168127E-14</v>
      </c>
      <c r="BI9" s="186">
        <f t="shared" si="28"/>
        <v>1.0362081563168127E-14</v>
      </c>
      <c r="BJ9" s="186">
        <f t="shared" si="28"/>
        <v>1.0362081563168127E-14</v>
      </c>
      <c r="BK9" s="186">
        <f t="shared" si="28"/>
        <v>1.0362081563168127E-14</v>
      </c>
      <c r="BL9" s="186">
        <f t="shared" si="28"/>
        <v>1.0362081563168127E-14</v>
      </c>
      <c r="BM9" s="186">
        <f t="shared" si="28"/>
        <v>1.0362081563168127E-14</v>
      </c>
      <c r="BN9" s="186">
        <f t="shared" si="28"/>
        <v>1.0362081563168127E-14</v>
      </c>
      <c r="BO9" s="187">
        <f>SUM(BC9:BN9)</f>
        <v>1.2434497875801753E-13</v>
      </c>
      <c r="BP9" s="186">
        <f aca="true" t="shared" si="29" ref="BP9:CA9">BP22+BP37+BP52</f>
        <v>1.0362081563168127E-14</v>
      </c>
      <c r="BQ9" s="186">
        <f t="shared" si="29"/>
        <v>1.0362081563168127E-14</v>
      </c>
      <c r="BR9" s="186">
        <f t="shared" si="29"/>
        <v>1.0362081563168127E-14</v>
      </c>
      <c r="BS9" s="186">
        <f t="shared" si="29"/>
        <v>1.0362081563168127E-14</v>
      </c>
      <c r="BT9" s="186">
        <f t="shared" si="29"/>
        <v>1.0362081563168127E-14</v>
      </c>
      <c r="BU9" s="186">
        <f t="shared" si="29"/>
        <v>1.0362081563168127E-14</v>
      </c>
      <c r="BV9" s="186">
        <f t="shared" si="29"/>
        <v>1.0362081563168127E-14</v>
      </c>
      <c r="BW9" s="186">
        <f t="shared" si="29"/>
        <v>1.0362081563168127E-14</v>
      </c>
      <c r="BX9" s="186">
        <f t="shared" si="29"/>
        <v>1.0362081563168127E-14</v>
      </c>
      <c r="BY9" s="186">
        <f t="shared" si="29"/>
        <v>1.0362081563168127E-14</v>
      </c>
      <c r="BZ9" s="186">
        <f t="shared" si="29"/>
        <v>1.0362081563168127E-14</v>
      </c>
      <c r="CA9" s="186">
        <f t="shared" si="29"/>
        <v>1.0362081563168127E-14</v>
      </c>
      <c r="CB9" s="187">
        <f>SUM(BP9:CA9)</f>
        <v>1.2434497875801753E-13</v>
      </c>
      <c r="CC9" s="186">
        <f aca="true" t="shared" si="30" ref="CC9:CN9">CC22+CC37+CC52</f>
        <v>1.0362081563168127E-14</v>
      </c>
      <c r="CD9" s="186">
        <f t="shared" si="30"/>
        <v>1.0362081563168127E-14</v>
      </c>
      <c r="CE9" s="186">
        <f t="shared" si="30"/>
        <v>1.0362081563168127E-14</v>
      </c>
      <c r="CF9" s="186">
        <f t="shared" si="30"/>
        <v>1.0362081563168127E-14</v>
      </c>
      <c r="CG9" s="186">
        <f t="shared" si="30"/>
        <v>1.0362081563168127E-14</v>
      </c>
      <c r="CH9" s="186">
        <f t="shared" si="30"/>
        <v>1.0362081563168127E-14</v>
      </c>
      <c r="CI9" s="186">
        <f t="shared" si="30"/>
        <v>1.0362081563168127E-14</v>
      </c>
      <c r="CJ9" s="186">
        <f t="shared" si="30"/>
        <v>1.0362081563168127E-14</v>
      </c>
      <c r="CK9" s="186">
        <f t="shared" si="30"/>
        <v>1.0362081563168127E-14</v>
      </c>
      <c r="CL9" s="186">
        <f t="shared" si="30"/>
        <v>1.0362081563168127E-14</v>
      </c>
      <c r="CM9" s="186">
        <f t="shared" si="30"/>
        <v>1.0362081563168127E-14</v>
      </c>
      <c r="CN9" s="186">
        <f t="shared" si="30"/>
        <v>1.0362081563168127E-14</v>
      </c>
      <c r="CO9" s="187">
        <f>SUM(CC9:CN9)</f>
        <v>1.2434497875801753E-13</v>
      </c>
      <c r="CP9" s="186">
        <f aca="true" t="shared" si="31" ref="CP9:DA9">CP22+CP37+CP52</f>
        <v>1.0362081563168127E-14</v>
      </c>
      <c r="CQ9" s="186">
        <f t="shared" si="31"/>
        <v>1.0362081563168127E-14</v>
      </c>
      <c r="CR9" s="186">
        <f t="shared" si="31"/>
        <v>1.0362081563168127E-14</v>
      </c>
      <c r="CS9" s="186">
        <f t="shared" si="31"/>
        <v>1.0362081563168127E-14</v>
      </c>
      <c r="CT9" s="186">
        <f t="shared" si="31"/>
        <v>1.0362081563168127E-14</v>
      </c>
      <c r="CU9" s="186">
        <f t="shared" si="31"/>
        <v>1.0362081563168127E-14</v>
      </c>
      <c r="CV9" s="186">
        <f t="shared" si="31"/>
        <v>1.0362081563168127E-14</v>
      </c>
      <c r="CW9" s="186">
        <f t="shared" si="31"/>
        <v>1.0362081563168127E-14</v>
      </c>
      <c r="CX9" s="186">
        <f t="shared" si="31"/>
        <v>1.0362081563168127E-14</v>
      </c>
      <c r="CY9" s="186">
        <f t="shared" si="31"/>
        <v>1.0362081563168127E-14</v>
      </c>
      <c r="CZ9" s="186">
        <f t="shared" si="31"/>
        <v>1.0362081563168127E-14</v>
      </c>
      <c r="DA9" s="186">
        <f t="shared" si="31"/>
        <v>1.0362081563168127E-14</v>
      </c>
      <c r="DB9" s="187">
        <f>SUM(CP9:DA9)</f>
        <v>1.2434497875801753E-13</v>
      </c>
      <c r="DC9" s="186">
        <f aca="true" t="shared" si="32" ref="DC9:DN9">DC22+DC37+DC52</f>
        <v>1.0362081563168127E-14</v>
      </c>
      <c r="DD9" s="186">
        <f t="shared" si="32"/>
        <v>1.0362081563168127E-14</v>
      </c>
      <c r="DE9" s="186">
        <f t="shared" si="32"/>
        <v>1.0362081563168127E-14</v>
      </c>
      <c r="DF9" s="186">
        <f t="shared" si="32"/>
        <v>1.0362081563168127E-14</v>
      </c>
      <c r="DG9" s="186">
        <f t="shared" si="32"/>
        <v>1.0362081563168127E-14</v>
      </c>
      <c r="DH9" s="186">
        <f t="shared" si="32"/>
        <v>1.0362081563168127E-14</v>
      </c>
      <c r="DI9" s="186">
        <f t="shared" si="32"/>
        <v>1.0362081563168127E-14</v>
      </c>
      <c r="DJ9" s="186">
        <f t="shared" si="32"/>
        <v>1.0362081563168127E-14</v>
      </c>
      <c r="DK9" s="186">
        <f t="shared" si="32"/>
        <v>1.0362081563168127E-14</v>
      </c>
      <c r="DL9" s="186">
        <f t="shared" si="32"/>
        <v>1.0362081563168127E-14</v>
      </c>
      <c r="DM9" s="186">
        <f t="shared" si="32"/>
        <v>1.0362081563168127E-14</v>
      </c>
      <c r="DN9" s="186">
        <f t="shared" si="32"/>
        <v>1.0362081563168127E-14</v>
      </c>
      <c r="DO9" s="187">
        <f>SUM(DC9:DN9)</f>
        <v>1.2434497875801753E-13</v>
      </c>
    </row>
    <row r="10" spans="1:120" ht="12.75">
      <c r="A10" s="180" t="s">
        <v>11</v>
      </c>
      <c r="B10" s="185">
        <f>O10+AB10+AO10+BB10+BO10+CB10+CO10+DB10+DO10</f>
        <v>599.2499999999983</v>
      </c>
      <c r="C10" s="186">
        <f t="shared" si="16"/>
        <v>0</v>
      </c>
      <c r="D10" s="186">
        <f t="shared" si="16"/>
        <v>0</v>
      </c>
      <c r="E10" s="186">
        <f t="shared" si="16"/>
        <v>0</v>
      </c>
      <c r="F10" s="186">
        <f t="shared" si="16"/>
        <v>0</v>
      </c>
      <c r="G10" s="186">
        <f t="shared" si="16"/>
        <v>0</v>
      </c>
      <c r="H10" s="186">
        <f t="shared" si="16"/>
        <v>0</v>
      </c>
      <c r="I10" s="186">
        <f t="shared" si="16"/>
        <v>0</v>
      </c>
      <c r="J10" s="186">
        <f t="shared" si="16"/>
        <v>0</v>
      </c>
      <c r="K10" s="186">
        <f t="shared" si="16"/>
        <v>0</v>
      </c>
      <c r="L10" s="186">
        <f t="shared" si="16"/>
        <v>0</v>
      </c>
      <c r="M10" s="186">
        <f t="shared" si="16"/>
        <v>0</v>
      </c>
      <c r="N10" s="186">
        <f t="shared" si="16"/>
        <v>0</v>
      </c>
      <c r="O10" s="187">
        <f>SUM(C10:N10)</f>
        <v>0</v>
      </c>
      <c r="P10" s="186">
        <f aca="true" t="shared" si="33" ref="P10:AA10">P23+P38+P53</f>
        <v>0</v>
      </c>
      <c r="Q10" s="186">
        <f t="shared" si="33"/>
        <v>16.520069509934185</v>
      </c>
      <c r="R10" s="186">
        <f t="shared" si="33"/>
        <v>16.61643658207547</v>
      </c>
      <c r="S10" s="186">
        <f t="shared" si="33"/>
        <v>16.713365795470907</v>
      </c>
      <c r="T10" s="186">
        <f t="shared" si="33"/>
        <v>16.81086042927782</v>
      </c>
      <c r="U10" s="186">
        <f t="shared" si="33"/>
        <v>16.908923781781944</v>
      </c>
      <c r="V10" s="186">
        <f t="shared" si="33"/>
        <v>17.007559170509005</v>
      </c>
      <c r="W10" s="186">
        <f t="shared" si="33"/>
        <v>17.106769932336974</v>
      </c>
      <c r="X10" s="186">
        <f t="shared" si="33"/>
        <v>17.206559423608937</v>
      </c>
      <c r="Y10" s="186">
        <f t="shared" si="33"/>
        <v>17.306931020246658</v>
      </c>
      <c r="Z10" s="186">
        <f t="shared" si="33"/>
        <v>17.40788811786476</v>
      </c>
      <c r="AA10" s="186">
        <f t="shared" si="33"/>
        <v>17.50943413188564</v>
      </c>
      <c r="AB10" s="187">
        <f>SUM(P10:AA10)</f>
        <v>187.1147978949923</v>
      </c>
      <c r="AC10" s="186">
        <f aca="true" t="shared" si="34" ref="AC10:AN10">AC23+AC38+AC53</f>
        <v>17.611572497654972</v>
      </c>
      <c r="AD10" s="186">
        <f t="shared" si="34"/>
        <v>17.71430667055796</v>
      </c>
      <c r="AE10" s="186">
        <f t="shared" si="34"/>
        <v>17.817640126136215</v>
      </c>
      <c r="AF10" s="186">
        <f t="shared" si="34"/>
        <v>17.921576360205343</v>
      </c>
      <c r="AG10" s="186">
        <f t="shared" si="34"/>
        <v>18.02611888897321</v>
      </c>
      <c r="AH10" s="186">
        <f t="shared" si="34"/>
        <v>18.131271249158885</v>
      </c>
      <c r="AI10" s="186">
        <f t="shared" si="34"/>
        <v>18.237036998112313</v>
      </c>
      <c r="AJ10" s="186">
        <f t="shared" si="34"/>
        <v>18.343419713934633</v>
      </c>
      <c r="AK10" s="186">
        <f t="shared" si="34"/>
        <v>18.450422995599254</v>
      </c>
      <c r="AL10" s="186">
        <f t="shared" si="34"/>
        <v>18.55805046307358</v>
      </c>
      <c r="AM10" s="186">
        <f t="shared" si="34"/>
        <v>18.66630575744151</v>
      </c>
      <c r="AN10" s="186">
        <f t="shared" si="34"/>
        <v>18.775192541026588</v>
      </c>
      <c r="AO10" s="187">
        <f>SUM(AC10:AN10)</f>
        <v>218.25291426187448</v>
      </c>
      <c r="AP10" s="186">
        <f aca="true" t="shared" si="35" ref="AP10:BA10">AP23+AP38+AP53</f>
        <v>18.88471449751591</v>
      </c>
      <c r="AQ10" s="186">
        <f t="shared" si="35"/>
        <v>18.99487533208475</v>
      </c>
      <c r="AR10" s="186">
        <f t="shared" si="35"/>
        <v>19.105678771521912</v>
      </c>
      <c r="AS10" s="186">
        <f t="shared" si="35"/>
        <v>19.21712856435579</v>
      </c>
      <c r="AT10" s="186">
        <f t="shared" si="35"/>
        <v>19.3292284809812</v>
      </c>
      <c r="AU10" s="186">
        <f t="shared" si="35"/>
        <v>19.441982313786923</v>
      </c>
      <c r="AV10" s="186">
        <f t="shared" si="35"/>
        <v>19.55539387728401</v>
      </c>
      <c r="AW10" s="186">
        <f t="shared" si="35"/>
        <v>19.669467008234836</v>
      </c>
      <c r="AX10" s="186">
        <f t="shared" si="35"/>
        <v>19.784205565782873</v>
      </c>
      <c r="AY10" s="186">
        <f t="shared" si="35"/>
        <v>19.899613431583273</v>
      </c>
      <c r="AZ10" s="186">
        <f t="shared" si="35"/>
        <v>0</v>
      </c>
      <c r="BA10" s="186">
        <f t="shared" si="35"/>
        <v>0</v>
      </c>
      <c r="BB10" s="187">
        <f>SUM(AP10:BA10)</f>
        <v>193.8822878431315</v>
      </c>
      <c r="BC10" s="186">
        <f aca="true" t="shared" si="36" ref="BC10:BN10">BC23+BC38+BC53</f>
        <v>0</v>
      </c>
      <c r="BD10" s="186">
        <f t="shared" si="36"/>
        <v>0</v>
      </c>
      <c r="BE10" s="186">
        <f t="shared" si="36"/>
        <v>0</v>
      </c>
      <c r="BF10" s="186">
        <f t="shared" si="36"/>
        <v>0</v>
      </c>
      <c r="BG10" s="186">
        <f t="shared" si="36"/>
        <v>0</v>
      </c>
      <c r="BH10" s="186">
        <f t="shared" si="36"/>
        <v>0</v>
      </c>
      <c r="BI10" s="186">
        <f t="shared" si="36"/>
        <v>0</v>
      </c>
      <c r="BJ10" s="186">
        <f t="shared" si="36"/>
        <v>0</v>
      </c>
      <c r="BK10" s="186">
        <f t="shared" si="36"/>
        <v>0</v>
      </c>
      <c r="BL10" s="186">
        <f t="shared" si="36"/>
        <v>0</v>
      </c>
      <c r="BM10" s="186">
        <f t="shared" si="36"/>
        <v>0</v>
      </c>
      <c r="BN10" s="186">
        <f t="shared" si="36"/>
        <v>0</v>
      </c>
      <c r="BO10" s="187">
        <f>SUM(BC10:BN10)</f>
        <v>0</v>
      </c>
      <c r="BP10" s="186">
        <f aca="true" t="shared" si="37" ref="BP10:CA10">BP23+BP38+BP53</f>
        <v>0</v>
      </c>
      <c r="BQ10" s="186">
        <f t="shared" si="37"/>
        <v>0</v>
      </c>
      <c r="BR10" s="186">
        <f t="shared" si="37"/>
        <v>0</v>
      </c>
      <c r="BS10" s="186">
        <f t="shared" si="37"/>
        <v>0</v>
      </c>
      <c r="BT10" s="186">
        <f t="shared" si="37"/>
        <v>0</v>
      </c>
      <c r="BU10" s="186">
        <f t="shared" si="37"/>
        <v>0</v>
      </c>
      <c r="BV10" s="186">
        <f t="shared" si="37"/>
        <v>0</v>
      </c>
      <c r="BW10" s="186">
        <f t="shared" si="37"/>
        <v>0</v>
      </c>
      <c r="BX10" s="186">
        <f t="shared" si="37"/>
        <v>0</v>
      </c>
      <c r="BY10" s="186">
        <f t="shared" si="37"/>
        <v>0</v>
      </c>
      <c r="BZ10" s="186">
        <f t="shared" si="37"/>
        <v>0</v>
      </c>
      <c r="CA10" s="186">
        <f t="shared" si="37"/>
        <v>0</v>
      </c>
      <c r="CB10" s="187">
        <f>SUM(BP10:CA10)</f>
        <v>0</v>
      </c>
      <c r="CC10" s="186">
        <f aca="true" t="shared" si="38" ref="CC10:CN10">CC23+CC38+CC53</f>
        <v>0</v>
      </c>
      <c r="CD10" s="186">
        <f t="shared" si="38"/>
        <v>0</v>
      </c>
      <c r="CE10" s="186">
        <f t="shared" si="38"/>
        <v>0</v>
      </c>
      <c r="CF10" s="186">
        <f t="shared" si="38"/>
        <v>0</v>
      </c>
      <c r="CG10" s="186">
        <f t="shared" si="38"/>
        <v>0</v>
      </c>
      <c r="CH10" s="186">
        <f t="shared" si="38"/>
        <v>0</v>
      </c>
      <c r="CI10" s="186">
        <f t="shared" si="38"/>
        <v>0</v>
      </c>
      <c r="CJ10" s="186">
        <f t="shared" si="38"/>
        <v>0</v>
      </c>
      <c r="CK10" s="186">
        <f t="shared" si="38"/>
        <v>0</v>
      </c>
      <c r="CL10" s="186">
        <f t="shared" si="38"/>
        <v>0</v>
      </c>
      <c r="CM10" s="186">
        <f t="shared" si="38"/>
        <v>0</v>
      </c>
      <c r="CN10" s="186">
        <f t="shared" si="38"/>
        <v>0</v>
      </c>
      <c r="CO10" s="187">
        <f>SUM(CC10:CN10)</f>
        <v>0</v>
      </c>
      <c r="CP10" s="186">
        <f aca="true" t="shared" si="39" ref="CP10:DA10">CP23+CP38+CP53</f>
        <v>0</v>
      </c>
      <c r="CQ10" s="186">
        <f t="shared" si="39"/>
        <v>0</v>
      </c>
      <c r="CR10" s="186">
        <f t="shared" si="39"/>
        <v>0</v>
      </c>
      <c r="CS10" s="186">
        <f t="shared" si="39"/>
        <v>0</v>
      </c>
      <c r="CT10" s="186">
        <f t="shared" si="39"/>
        <v>0</v>
      </c>
      <c r="CU10" s="186">
        <f t="shared" si="39"/>
        <v>0</v>
      </c>
      <c r="CV10" s="186">
        <f t="shared" si="39"/>
        <v>0</v>
      </c>
      <c r="CW10" s="186">
        <f t="shared" si="39"/>
        <v>0</v>
      </c>
      <c r="CX10" s="186">
        <f t="shared" si="39"/>
        <v>0</v>
      </c>
      <c r="CY10" s="186">
        <f t="shared" si="39"/>
        <v>0</v>
      </c>
      <c r="CZ10" s="186">
        <f t="shared" si="39"/>
        <v>0</v>
      </c>
      <c r="DA10" s="186">
        <f t="shared" si="39"/>
        <v>0</v>
      </c>
      <c r="DB10" s="187">
        <f>SUM(CP10:DA10)</f>
        <v>0</v>
      </c>
      <c r="DC10" s="186">
        <f aca="true" t="shared" si="40" ref="DC10:DN10">DC23+DC38+DC53</f>
        <v>0</v>
      </c>
      <c r="DD10" s="186">
        <f t="shared" si="40"/>
        <v>0</v>
      </c>
      <c r="DE10" s="186">
        <f t="shared" si="40"/>
        <v>0</v>
      </c>
      <c r="DF10" s="186">
        <f t="shared" si="40"/>
        <v>0</v>
      </c>
      <c r="DG10" s="186">
        <f t="shared" si="40"/>
        <v>0</v>
      </c>
      <c r="DH10" s="186">
        <f t="shared" si="40"/>
        <v>0</v>
      </c>
      <c r="DI10" s="186">
        <f t="shared" si="40"/>
        <v>0</v>
      </c>
      <c r="DJ10" s="186">
        <f t="shared" si="40"/>
        <v>0</v>
      </c>
      <c r="DK10" s="186">
        <f t="shared" si="40"/>
        <v>0</v>
      </c>
      <c r="DL10" s="186">
        <f t="shared" si="40"/>
        <v>0</v>
      </c>
      <c r="DM10" s="186">
        <f t="shared" si="40"/>
        <v>0</v>
      </c>
      <c r="DN10" s="186">
        <f t="shared" si="40"/>
        <v>0</v>
      </c>
      <c r="DO10" s="187">
        <f>SUM(DC10:DN10)</f>
        <v>0</v>
      </c>
      <c r="DP10" s="188"/>
    </row>
    <row r="11" spans="1:120" ht="12.75">
      <c r="A11" s="180" t="s">
        <v>12</v>
      </c>
      <c r="B11" s="185">
        <f>O11+AB11+AO11+BB11+BO11+CB11+CO11+DB11+DO11</f>
        <v>71.75479382783054</v>
      </c>
      <c r="C11" s="186">
        <f t="shared" si="16"/>
        <v>0</v>
      </c>
      <c r="D11" s="186">
        <f t="shared" si="16"/>
        <v>0</v>
      </c>
      <c r="E11" s="186">
        <f t="shared" si="16"/>
        <v>0</v>
      </c>
      <c r="F11" s="186">
        <f t="shared" si="16"/>
        <v>0</v>
      </c>
      <c r="G11" s="186">
        <f t="shared" si="16"/>
        <v>0</v>
      </c>
      <c r="H11" s="186">
        <f t="shared" si="16"/>
        <v>0</v>
      </c>
      <c r="I11" s="186">
        <f t="shared" si="16"/>
        <v>0</v>
      </c>
      <c r="J11" s="186">
        <f t="shared" si="16"/>
        <v>0</v>
      </c>
      <c r="K11" s="186">
        <f t="shared" si="16"/>
        <v>0</v>
      </c>
      <c r="L11" s="186">
        <f t="shared" si="16"/>
        <v>0</v>
      </c>
      <c r="M11" s="186">
        <f t="shared" si="16"/>
        <v>3.4956250000000004</v>
      </c>
      <c r="N11" s="186">
        <f t="shared" si="16"/>
        <v>3.4956250000000004</v>
      </c>
      <c r="O11" s="187">
        <f>SUM(C11:N11)</f>
        <v>6.991250000000001</v>
      </c>
      <c r="P11" s="186">
        <f aca="true" t="shared" si="41" ref="P11:AA11">P24+P39+P54</f>
        <v>3.4956250000000004</v>
      </c>
      <c r="Q11" s="186">
        <f t="shared" si="41"/>
        <v>3.4956250000000004</v>
      </c>
      <c r="R11" s="186">
        <f t="shared" si="41"/>
        <v>3.399257927858718</v>
      </c>
      <c r="S11" s="186">
        <f t="shared" si="41"/>
        <v>3.302328714463277</v>
      </c>
      <c r="T11" s="186">
        <f t="shared" si="41"/>
        <v>3.2048340806563638</v>
      </c>
      <c r="U11" s="186">
        <f t="shared" si="41"/>
        <v>3.1067707281522434</v>
      </c>
      <c r="V11" s="186">
        <f t="shared" si="41"/>
        <v>3.0081353394251824</v>
      </c>
      <c r="W11" s="186">
        <f t="shared" si="41"/>
        <v>2.908924577597213</v>
      </c>
      <c r="X11" s="186">
        <f t="shared" si="41"/>
        <v>2.8091350863252473</v>
      </c>
      <c r="Y11" s="186">
        <f t="shared" si="41"/>
        <v>2.7087634896875286</v>
      </c>
      <c r="Z11" s="186">
        <f t="shared" si="41"/>
        <v>2.6078063920694228</v>
      </c>
      <c r="AA11" s="186">
        <f t="shared" si="41"/>
        <v>2.5062603780485446</v>
      </c>
      <c r="AB11" s="187">
        <f>SUM(P11:AA11)</f>
        <v>36.553466714283736</v>
      </c>
      <c r="AC11" s="186">
        <f aca="true" t="shared" si="42" ref="AC11:AN11">AC24+AC39+AC54</f>
        <v>2.404122012279212</v>
      </c>
      <c r="AD11" s="186">
        <f t="shared" si="42"/>
        <v>2.3013878393762246</v>
      </c>
      <c r="AE11" s="186">
        <f t="shared" si="42"/>
        <v>2.19805438379797</v>
      </c>
      <c r="AF11" s="186">
        <f t="shared" si="42"/>
        <v>2.094118149728842</v>
      </c>
      <c r="AG11" s="186">
        <f t="shared" si="42"/>
        <v>1.9895756209609774</v>
      </c>
      <c r="AH11" s="186">
        <f t="shared" si="42"/>
        <v>1.8844232607753002</v>
      </c>
      <c r="AI11" s="186">
        <f t="shared" si="42"/>
        <v>1.7786575118218735</v>
      </c>
      <c r="AJ11" s="186">
        <f t="shared" si="42"/>
        <v>1.6722747959995516</v>
      </c>
      <c r="AK11" s="186">
        <f t="shared" si="42"/>
        <v>1.565271514334933</v>
      </c>
      <c r="AL11" s="186">
        <f t="shared" si="42"/>
        <v>1.4576440468606042</v>
      </c>
      <c r="AM11" s="186">
        <f t="shared" si="42"/>
        <v>1.3493887524926749</v>
      </c>
      <c r="AN11" s="186">
        <f t="shared" si="42"/>
        <v>1.2405019689075993</v>
      </c>
      <c r="AO11" s="187">
        <f>SUM(AC11:AN11)</f>
        <v>21.935419857335763</v>
      </c>
      <c r="AP11" s="186">
        <f aca="true" t="shared" si="43" ref="AP11:BA11">AP24+AP39+AP54</f>
        <v>1.1309800124182774</v>
      </c>
      <c r="AQ11" s="186">
        <f t="shared" si="43"/>
        <v>1.0208191778494347</v>
      </c>
      <c r="AR11" s="186">
        <f t="shared" si="43"/>
        <v>0.9100157384122736</v>
      </c>
      <c r="AS11" s="186">
        <f t="shared" si="43"/>
        <v>0.7985659455783957</v>
      </c>
      <c r="AT11" s="186">
        <f t="shared" si="43"/>
        <v>0.6864660289529869</v>
      </c>
      <c r="AU11" s="186">
        <f t="shared" si="43"/>
        <v>0.5737121961472632</v>
      </c>
      <c r="AV11" s="186">
        <f t="shared" si="43"/>
        <v>0.4603006326501729</v>
      </c>
      <c r="AW11" s="186">
        <f t="shared" si="43"/>
        <v>0.34622750169934946</v>
      </c>
      <c r="AX11" s="186">
        <f t="shared" si="43"/>
        <v>0.2314889441513129</v>
      </c>
      <c r="AY11" s="186">
        <f t="shared" si="43"/>
        <v>0.1160810783509128</v>
      </c>
      <c r="AZ11" s="186">
        <f t="shared" si="43"/>
        <v>1.0362081563168127E-14</v>
      </c>
      <c r="BA11" s="186">
        <f t="shared" si="43"/>
        <v>1.0362081563168127E-14</v>
      </c>
      <c r="BB11" s="187">
        <f>SUM(AP11:BA11)</f>
        <v>6.274657256210402</v>
      </c>
      <c r="BC11" s="186">
        <f aca="true" t="shared" si="44" ref="BC11:BN11">BC24+BC39+BC54</f>
        <v>1.0362081563168127E-14</v>
      </c>
      <c r="BD11" s="186">
        <f t="shared" si="44"/>
        <v>1.0362081563168127E-14</v>
      </c>
      <c r="BE11" s="186">
        <f t="shared" si="44"/>
        <v>1.0362081563168127E-14</v>
      </c>
      <c r="BF11" s="186">
        <f t="shared" si="44"/>
        <v>1.0362081563168127E-14</v>
      </c>
      <c r="BG11" s="186">
        <f t="shared" si="44"/>
        <v>1.0362081563168127E-14</v>
      </c>
      <c r="BH11" s="186">
        <f t="shared" si="44"/>
        <v>1.0362081563168127E-14</v>
      </c>
      <c r="BI11" s="186">
        <f t="shared" si="44"/>
        <v>1.0362081563168127E-14</v>
      </c>
      <c r="BJ11" s="186">
        <f t="shared" si="44"/>
        <v>1.0362081563168127E-14</v>
      </c>
      <c r="BK11" s="186">
        <f t="shared" si="44"/>
        <v>1.0362081563168127E-14</v>
      </c>
      <c r="BL11" s="186">
        <f t="shared" si="44"/>
        <v>1.0362081563168127E-14</v>
      </c>
      <c r="BM11" s="186">
        <f t="shared" si="44"/>
        <v>1.0362081563168127E-14</v>
      </c>
      <c r="BN11" s="186">
        <f t="shared" si="44"/>
        <v>1.0362081563168127E-14</v>
      </c>
      <c r="BO11" s="187">
        <f>SUM(BC11:BN11)</f>
        <v>1.2434497875801753E-13</v>
      </c>
      <c r="BP11" s="186">
        <f aca="true" t="shared" si="45" ref="BP11:CA11">BP24+BP39+BP54</f>
        <v>1.0362081563168127E-14</v>
      </c>
      <c r="BQ11" s="186">
        <f t="shared" si="45"/>
        <v>1.0362081563168127E-14</v>
      </c>
      <c r="BR11" s="186">
        <f t="shared" si="45"/>
        <v>1.0362081563168127E-14</v>
      </c>
      <c r="BS11" s="186">
        <f t="shared" si="45"/>
        <v>1.0362081563168127E-14</v>
      </c>
      <c r="BT11" s="186">
        <f t="shared" si="45"/>
        <v>1.0362081563168127E-14</v>
      </c>
      <c r="BU11" s="186">
        <f t="shared" si="45"/>
        <v>1.0362081563168127E-14</v>
      </c>
      <c r="BV11" s="186">
        <f t="shared" si="45"/>
        <v>1.0362081563168127E-14</v>
      </c>
      <c r="BW11" s="186">
        <f t="shared" si="45"/>
        <v>1.0362081563168127E-14</v>
      </c>
      <c r="BX11" s="186">
        <f t="shared" si="45"/>
        <v>1.0362081563168127E-14</v>
      </c>
      <c r="BY11" s="186">
        <f t="shared" si="45"/>
        <v>1.0362081563168127E-14</v>
      </c>
      <c r="BZ11" s="186">
        <f t="shared" si="45"/>
        <v>1.0362081563168127E-14</v>
      </c>
      <c r="CA11" s="186">
        <f t="shared" si="45"/>
        <v>1.0362081563168127E-14</v>
      </c>
      <c r="CB11" s="187">
        <f>SUM(BP11:CA11)</f>
        <v>1.2434497875801753E-13</v>
      </c>
      <c r="CC11" s="186">
        <f aca="true" t="shared" si="46" ref="CC11:CN11">CC24+CC39+CC54</f>
        <v>1.0362081563168127E-14</v>
      </c>
      <c r="CD11" s="186">
        <f t="shared" si="46"/>
        <v>1.0362081563168127E-14</v>
      </c>
      <c r="CE11" s="186">
        <f t="shared" si="46"/>
        <v>1.0362081563168127E-14</v>
      </c>
      <c r="CF11" s="186">
        <f t="shared" si="46"/>
        <v>1.0362081563168127E-14</v>
      </c>
      <c r="CG11" s="186">
        <f t="shared" si="46"/>
        <v>1.0362081563168127E-14</v>
      </c>
      <c r="CH11" s="186">
        <f t="shared" si="46"/>
        <v>1.0362081563168127E-14</v>
      </c>
      <c r="CI11" s="186">
        <f t="shared" si="46"/>
        <v>1.0362081563168127E-14</v>
      </c>
      <c r="CJ11" s="186">
        <f t="shared" si="46"/>
        <v>1.0362081563168127E-14</v>
      </c>
      <c r="CK11" s="186">
        <f t="shared" si="46"/>
        <v>1.0362081563168127E-14</v>
      </c>
      <c r="CL11" s="186">
        <f t="shared" si="46"/>
        <v>1.0362081563168127E-14</v>
      </c>
      <c r="CM11" s="186">
        <f t="shared" si="46"/>
        <v>1.0362081563168127E-14</v>
      </c>
      <c r="CN11" s="186">
        <f t="shared" si="46"/>
        <v>1.0362081563168127E-14</v>
      </c>
      <c r="CO11" s="187">
        <f>SUM(CC11:CN11)</f>
        <v>1.2434497875801753E-13</v>
      </c>
      <c r="CP11" s="186">
        <f aca="true" t="shared" si="47" ref="CP11:DA11">CP24+CP39+CP54</f>
        <v>1.0362081563168127E-14</v>
      </c>
      <c r="CQ11" s="186">
        <f t="shared" si="47"/>
        <v>1.0362081563168127E-14</v>
      </c>
      <c r="CR11" s="186">
        <f t="shared" si="47"/>
        <v>1.0362081563168127E-14</v>
      </c>
      <c r="CS11" s="186">
        <f t="shared" si="47"/>
        <v>1.0362081563168127E-14</v>
      </c>
      <c r="CT11" s="186">
        <f t="shared" si="47"/>
        <v>1.0362081563168127E-14</v>
      </c>
      <c r="CU11" s="186">
        <f t="shared" si="47"/>
        <v>1.0362081563168127E-14</v>
      </c>
      <c r="CV11" s="186">
        <f t="shared" si="47"/>
        <v>1.0362081563168127E-14</v>
      </c>
      <c r="CW11" s="186">
        <f t="shared" si="47"/>
        <v>1.0362081563168127E-14</v>
      </c>
      <c r="CX11" s="186">
        <f t="shared" si="47"/>
        <v>1.0362081563168127E-14</v>
      </c>
      <c r="CY11" s="186">
        <f t="shared" si="47"/>
        <v>1.0362081563168127E-14</v>
      </c>
      <c r="CZ11" s="186">
        <f t="shared" si="47"/>
        <v>1.0362081563168127E-14</v>
      </c>
      <c r="DA11" s="186">
        <f t="shared" si="47"/>
        <v>1.0362081563168127E-14</v>
      </c>
      <c r="DB11" s="187">
        <f>SUM(CP11:DA11)</f>
        <v>1.2434497875801753E-13</v>
      </c>
      <c r="DC11" s="186">
        <f aca="true" t="shared" si="48" ref="DC11:DN11">DC24+DC39+DC54</f>
        <v>1.0362081563168127E-14</v>
      </c>
      <c r="DD11" s="186">
        <f t="shared" si="48"/>
        <v>1.0362081563168127E-14</v>
      </c>
      <c r="DE11" s="186">
        <f t="shared" si="48"/>
        <v>1.0362081563168127E-14</v>
      </c>
      <c r="DF11" s="186">
        <f t="shared" si="48"/>
        <v>1.0362081563168127E-14</v>
      </c>
      <c r="DG11" s="186">
        <f t="shared" si="48"/>
        <v>1.0362081563168127E-14</v>
      </c>
      <c r="DH11" s="186">
        <f t="shared" si="48"/>
        <v>1.0362081563168127E-14</v>
      </c>
      <c r="DI11" s="186">
        <f t="shared" si="48"/>
        <v>1.0362081563168127E-14</v>
      </c>
      <c r="DJ11" s="186">
        <f t="shared" si="48"/>
        <v>1.0362081563168127E-14</v>
      </c>
      <c r="DK11" s="186">
        <f t="shared" si="48"/>
        <v>1.0362081563168127E-14</v>
      </c>
      <c r="DL11" s="186">
        <f t="shared" si="48"/>
        <v>1.0362081563168127E-14</v>
      </c>
      <c r="DM11" s="186">
        <f t="shared" si="48"/>
        <v>1.0362081563168127E-14</v>
      </c>
      <c r="DN11" s="186">
        <f t="shared" si="48"/>
        <v>1.0362081563168127E-14</v>
      </c>
      <c r="DO11" s="187">
        <f>SUM(DC11:DN11)</f>
        <v>1.2434497875801753E-13</v>
      </c>
      <c r="DP11" s="188" t="s">
        <v>50</v>
      </c>
    </row>
    <row r="12" spans="1:120" ht="12.75">
      <c r="A12" s="180" t="s">
        <v>13</v>
      </c>
      <c r="B12" s="185">
        <f>DO12</f>
        <v>1.7763568394002505E-12</v>
      </c>
      <c r="C12" s="186">
        <f t="shared" si="16"/>
        <v>0</v>
      </c>
      <c r="D12" s="186">
        <f t="shared" si="16"/>
        <v>0</v>
      </c>
      <c r="E12" s="186">
        <f t="shared" si="16"/>
        <v>0</v>
      </c>
      <c r="F12" s="186">
        <f t="shared" si="16"/>
        <v>0</v>
      </c>
      <c r="G12" s="186">
        <f t="shared" si="16"/>
        <v>0</v>
      </c>
      <c r="H12" s="186">
        <f t="shared" si="16"/>
        <v>0</v>
      </c>
      <c r="I12" s="186">
        <f t="shared" si="16"/>
        <v>0</v>
      </c>
      <c r="J12" s="186">
        <f t="shared" si="16"/>
        <v>0</v>
      </c>
      <c r="K12" s="186">
        <f t="shared" si="16"/>
        <v>0</v>
      </c>
      <c r="L12" s="186">
        <f t="shared" si="16"/>
        <v>599.25</v>
      </c>
      <c r="M12" s="186">
        <f t="shared" si="16"/>
        <v>599.25</v>
      </c>
      <c r="N12" s="186">
        <f t="shared" si="16"/>
        <v>599.25</v>
      </c>
      <c r="O12" s="187">
        <f>N12</f>
        <v>599.25</v>
      </c>
      <c r="P12" s="186">
        <f aca="true" t="shared" si="49" ref="P12:AA12">P25+P40+P55</f>
        <v>599.25</v>
      </c>
      <c r="Q12" s="186">
        <f t="shared" si="49"/>
        <v>582.7299304900658</v>
      </c>
      <c r="R12" s="186">
        <f t="shared" si="49"/>
        <v>566.1134939079903</v>
      </c>
      <c r="S12" s="186">
        <f t="shared" si="49"/>
        <v>549.4001281125195</v>
      </c>
      <c r="T12" s="186">
        <f t="shared" si="49"/>
        <v>532.5892676832417</v>
      </c>
      <c r="U12" s="186">
        <f t="shared" si="49"/>
        <v>515.6803439014598</v>
      </c>
      <c r="V12" s="186">
        <f t="shared" si="49"/>
        <v>498.67278473095075</v>
      </c>
      <c r="W12" s="186">
        <f t="shared" si="49"/>
        <v>481.56601479861376</v>
      </c>
      <c r="X12" s="186">
        <f t="shared" si="49"/>
        <v>464.3594553750048</v>
      </c>
      <c r="Y12" s="186">
        <f t="shared" si="49"/>
        <v>447.05252435475813</v>
      </c>
      <c r="Z12" s="186">
        <f t="shared" si="49"/>
        <v>429.64463623689335</v>
      </c>
      <c r="AA12" s="186">
        <f t="shared" si="49"/>
        <v>412.1352021050077</v>
      </c>
      <c r="AB12" s="187">
        <f>AA12</f>
        <v>412.1352021050077</v>
      </c>
      <c r="AC12" s="186">
        <f aca="true" t="shared" si="50" ref="AC12:AN12">AC25+AC40+AC55</f>
        <v>394.52362960735275</v>
      </c>
      <c r="AD12" s="186">
        <f t="shared" si="50"/>
        <v>376.8093229367948</v>
      </c>
      <c r="AE12" s="186">
        <f t="shared" si="50"/>
        <v>358.9916828106586</v>
      </c>
      <c r="AF12" s="186">
        <f t="shared" si="50"/>
        <v>341.07010645045324</v>
      </c>
      <c r="AG12" s="186">
        <f t="shared" si="50"/>
        <v>323.04398756148004</v>
      </c>
      <c r="AH12" s="186">
        <f t="shared" si="50"/>
        <v>304.91271631232115</v>
      </c>
      <c r="AI12" s="186">
        <f t="shared" si="50"/>
        <v>286.6756793142088</v>
      </c>
      <c r="AJ12" s="186">
        <f t="shared" si="50"/>
        <v>268.3322596002742</v>
      </c>
      <c r="AK12" s="186">
        <f t="shared" si="50"/>
        <v>249.88183660467496</v>
      </c>
      <c r="AL12" s="186">
        <f t="shared" si="50"/>
        <v>231.32378614160137</v>
      </c>
      <c r="AM12" s="186">
        <f t="shared" si="50"/>
        <v>212.65748038415987</v>
      </c>
      <c r="AN12" s="186">
        <f t="shared" si="50"/>
        <v>193.88228784313327</v>
      </c>
      <c r="AO12" s="187">
        <f>AN12</f>
        <v>193.88228784313327</v>
      </c>
      <c r="AP12" s="186">
        <f aca="true" t="shared" si="51" ref="AP12:BA12">AP25+AP40+AP55</f>
        <v>174.99757334561735</v>
      </c>
      <c r="AQ12" s="186">
        <f t="shared" si="51"/>
        <v>156.0026980135326</v>
      </c>
      <c r="AR12" s="186">
        <f t="shared" si="51"/>
        <v>136.89701924201069</v>
      </c>
      <c r="AS12" s="186">
        <f t="shared" si="51"/>
        <v>117.6798906776549</v>
      </c>
      <c r="AT12" s="186">
        <f t="shared" si="51"/>
        <v>98.3506621966737</v>
      </c>
      <c r="AU12" s="186">
        <f t="shared" si="51"/>
        <v>78.90867988288677</v>
      </c>
      <c r="AV12" s="186">
        <f t="shared" si="51"/>
        <v>59.35328600560276</v>
      </c>
      <c r="AW12" s="186">
        <f t="shared" si="51"/>
        <v>39.68381899736792</v>
      </c>
      <c r="AX12" s="186">
        <f t="shared" si="51"/>
        <v>19.89961343158505</v>
      </c>
      <c r="AY12" s="186">
        <f t="shared" si="51"/>
        <v>1.7763568394002505E-12</v>
      </c>
      <c r="AZ12" s="186">
        <f t="shared" si="51"/>
        <v>1.7763568394002505E-12</v>
      </c>
      <c r="BA12" s="186">
        <f t="shared" si="51"/>
        <v>1.7763568394002505E-12</v>
      </c>
      <c r="BB12" s="187">
        <f>BA12</f>
        <v>1.7763568394002505E-12</v>
      </c>
      <c r="BC12" s="186">
        <f aca="true" t="shared" si="52" ref="BC12:BN12">BC25+BC40+BC55</f>
        <v>1.7763568394002505E-12</v>
      </c>
      <c r="BD12" s="186">
        <f t="shared" si="52"/>
        <v>1.7763568394002505E-12</v>
      </c>
      <c r="BE12" s="186">
        <f t="shared" si="52"/>
        <v>1.7763568394002505E-12</v>
      </c>
      <c r="BF12" s="186">
        <f t="shared" si="52"/>
        <v>1.7763568394002505E-12</v>
      </c>
      <c r="BG12" s="186">
        <f t="shared" si="52"/>
        <v>1.7763568394002505E-12</v>
      </c>
      <c r="BH12" s="186">
        <f t="shared" si="52"/>
        <v>1.7763568394002505E-12</v>
      </c>
      <c r="BI12" s="186">
        <f t="shared" si="52"/>
        <v>1.7763568394002505E-12</v>
      </c>
      <c r="BJ12" s="186">
        <f t="shared" si="52"/>
        <v>1.7763568394002505E-12</v>
      </c>
      <c r="BK12" s="186">
        <f t="shared" si="52"/>
        <v>1.7763568394002505E-12</v>
      </c>
      <c r="BL12" s="186">
        <f t="shared" si="52"/>
        <v>1.7763568394002505E-12</v>
      </c>
      <c r="BM12" s="186">
        <f t="shared" si="52"/>
        <v>1.7763568394002505E-12</v>
      </c>
      <c r="BN12" s="186">
        <f t="shared" si="52"/>
        <v>1.7763568394002505E-12</v>
      </c>
      <c r="BO12" s="187">
        <f>BN12</f>
        <v>1.7763568394002505E-12</v>
      </c>
      <c r="BP12" s="186">
        <f aca="true" t="shared" si="53" ref="BP12:CA12">BP25+BP40+BP55</f>
        <v>1.7763568394002505E-12</v>
      </c>
      <c r="BQ12" s="186">
        <f t="shared" si="53"/>
        <v>1.7763568394002505E-12</v>
      </c>
      <c r="BR12" s="186">
        <f t="shared" si="53"/>
        <v>1.7763568394002505E-12</v>
      </c>
      <c r="BS12" s="186">
        <f t="shared" si="53"/>
        <v>1.7763568394002505E-12</v>
      </c>
      <c r="BT12" s="186">
        <f t="shared" si="53"/>
        <v>1.7763568394002505E-12</v>
      </c>
      <c r="BU12" s="186">
        <f t="shared" si="53"/>
        <v>1.7763568394002505E-12</v>
      </c>
      <c r="BV12" s="186">
        <f t="shared" si="53"/>
        <v>1.7763568394002505E-12</v>
      </c>
      <c r="BW12" s="186">
        <f t="shared" si="53"/>
        <v>1.7763568394002505E-12</v>
      </c>
      <c r="BX12" s="186">
        <f t="shared" si="53"/>
        <v>1.7763568394002505E-12</v>
      </c>
      <c r="BY12" s="186">
        <f t="shared" si="53"/>
        <v>1.7763568394002505E-12</v>
      </c>
      <c r="BZ12" s="186">
        <f t="shared" si="53"/>
        <v>1.7763568394002505E-12</v>
      </c>
      <c r="CA12" s="186">
        <f t="shared" si="53"/>
        <v>1.7763568394002505E-12</v>
      </c>
      <c r="CB12" s="187">
        <f>CA12</f>
        <v>1.7763568394002505E-12</v>
      </c>
      <c r="CC12" s="186">
        <f aca="true" t="shared" si="54" ref="CC12:CN12">CC25+CC40+CC55</f>
        <v>1.7763568394002505E-12</v>
      </c>
      <c r="CD12" s="186">
        <f t="shared" si="54"/>
        <v>1.7763568394002505E-12</v>
      </c>
      <c r="CE12" s="186">
        <f t="shared" si="54"/>
        <v>1.7763568394002505E-12</v>
      </c>
      <c r="CF12" s="186">
        <f t="shared" si="54"/>
        <v>1.7763568394002505E-12</v>
      </c>
      <c r="CG12" s="186">
        <f t="shared" si="54"/>
        <v>1.7763568394002505E-12</v>
      </c>
      <c r="CH12" s="186">
        <f t="shared" si="54"/>
        <v>1.7763568394002505E-12</v>
      </c>
      <c r="CI12" s="186">
        <f t="shared" si="54"/>
        <v>1.7763568394002505E-12</v>
      </c>
      <c r="CJ12" s="186">
        <f t="shared" si="54"/>
        <v>1.7763568394002505E-12</v>
      </c>
      <c r="CK12" s="186">
        <f t="shared" si="54"/>
        <v>1.7763568394002505E-12</v>
      </c>
      <c r="CL12" s="186">
        <f t="shared" si="54"/>
        <v>1.7763568394002505E-12</v>
      </c>
      <c r="CM12" s="186">
        <f t="shared" si="54"/>
        <v>1.7763568394002505E-12</v>
      </c>
      <c r="CN12" s="186">
        <f t="shared" si="54"/>
        <v>1.7763568394002505E-12</v>
      </c>
      <c r="CO12" s="187">
        <f>CN12</f>
        <v>1.7763568394002505E-12</v>
      </c>
      <c r="CP12" s="186">
        <f aca="true" t="shared" si="55" ref="CP12:DA12">CP25+CP40+CP55</f>
        <v>1.7763568394002505E-12</v>
      </c>
      <c r="CQ12" s="186">
        <f t="shared" si="55"/>
        <v>1.7763568394002505E-12</v>
      </c>
      <c r="CR12" s="186">
        <f t="shared" si="55"/>
        <v>1.7763568394002505E-12</v>
      </c>
      <c r="CS12" s="186">
        <f t="shared" si="55"/>
        <v>1.7763568394002505E-12</v>
      </c>
      <c r="CT12" s="186">
        <f t="shared" si="55"/>
        <v>1.7763568394002505E-12</v>
      </c>
      <c r="CU12" s="186">
        <f t="shared" si="55"/>
        <v>1.7763568394002505E-12</v>
      </c>
      <c r="CV12" s="186">
        <f t="shared" si="55"/>
        <v>1.7763568394002505E-12</v>
      </c>
      <c r="CW12" s="186">
        <f t="shared" si="55"/>
        <v>1.7763568394002505E-12</v>
      </c>
      <c r="CX12" s="186">
        <f t="shared" si="55"/>
        <v>1.7763568394002505E-12</v>
      </c>
      <c r="CY12" s="186">
        <f t="shared" si="55"/>
        <v>1.7763568394002505E-12</v>
      </c>
      <c r="CZ12" s="186">
        <f t="shared" si="55"/>
        <v>1.7763568394002505E-12</v>
      </c>
      <c r="DA12" s="186">
        <f t="shared" si="55"/>
        <v>1.7763568394002505E-12</v>
      </c>
      <c r="DB12" s="187">
        <f>DA12</f>
        <v>1.7763568394002505E-12</v>
      </c>
      <c r="DC12" s="186">
        <f aca="true" t="shared" si="56" ref="DC12:DN12">DC25+DC40+DC55</f>
        <v>1.7763568394002505E-12</v>
      </c>
      <c r="DD12" s="186">
        <f t="shared" si="56"/>
        <v>1.7763568394002505E-12</v>
      </c>
      <c r="DE12" s="186">
        <f t="shared" si="56"/>
        <v>1.7763568394002505E-12</v>
      </c>
      <c r="DF12" s="186">
        <f t="shared" si="56"/>
        <v>1.7763568394002505E-12</v>
      </c>
      <c r="DG12" s="186">
        <f t="shared" si="56"/>
        <v>1.7763568394002505E-12</v>
      </c>
      <c r="DH12" s="186">
        <f t="shared" si="56"/>
        <v>1.7763568394002505E-12</v>
      </c>
      <c r="DI12" s="186">
        <f t="shared" si="56"/>
        <v>1.7763568394002505E-12</v>
      </c>
      <c r="DJ12" s="186">
        <f t="shared" si="56"/>
        <v>1.7763568394002505E-12</v>
      </c>
      <c r="DK12" s="186">
        <f t="shared" si="56"/>
        <v>1.7763568394002505E-12</v>
      </c>
      <c r="DL12" s="186">
        <f t="shared" si="56"/>
        <v>1.7763568394002505E-12</v>
      </c>
      <c r="DM12" s="186">
        <f t="shared" si="56"/>
        <v>1.7763568394002505E-12</v>
      </c>
      <c r="DN12" s="186">
        <f t="shared" si="56"/>
        <v>1.7763568394002505E-12</v>
      </c>
      <c r="DO12" s="187">
        <f>DN12</f>
        <v>1.7763568394002505E-12</v>
      </c>
      <c r="DP12" s="192">
        <f>MAX(C12:BO12)</f>
        <v>599.25</v>
      </c>
    </row>
    <row r="13" spans="1:120" ht="12.75">
      <c r="A13" s="172" t="s">
        <v>70</v>
      </c>
      <c r="B13" s="172">
        <f>Исх!$C$43*12-Исх!$C$45</f>
        <v>33</v>
      </c>
      <c r="DP13" s="175"/>
    </row>
    <row r="14" ht="12.75">
      <c r="A14" s="193">
        <f>B9-B8-B11</f>
        <v>0</v>
      </c>
    </row>
    <row r="15" ht="12.75">
      <c r="A15" s="193">
        <f>B9-B8-B11</f>
        <v>0</v>
      </c>
    </row>
    <row r="17" spans="1:119" ht="12.75">
      <c r="A17" s="282" t="s">
        <v>209</v>
      </c>
      <c r="B17" s="280"/>
      <c r="DB17" s="172"/>
      <c r="DO17" s="172"/>
    </row>
    <row r="18" spans="1:119" ht="15.75" customHeight="1">
      <c r="A18" s="179" t="s">
        <v>9</v>
      </c>
      <c r="B18" s="281">
        <f>Исх!$C$42</f>
        <v>0.07</v>
      </c>
      <c r="C18" s="343">
        <v>2013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>
        <v>2014</v>
      </c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>
        <v>2015</v>
      </c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>
        <v>2016</v>
      </c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>
        <v>2017</v>
      </c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>
        <v>2018</v>
      </c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>
        <v>2019</v>
      </c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>
        <v>2020</v>
      </c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>
        <v>2021</v>
      </c>
      <c r="DD18" s="343"/>
      <c r="DE18" s="343"/>
      <c r="DF18" s="343"/>
      <c r="DG18" s="343"/>
      <c r="DH18" s="343"/>
      <c r="DI18" s="343"/>
      <c r="DJ18" s="343"/>
      <c r="DK18" s="343"/>
      <c r="DL18" s="343"/>
      <c r="DM18" s="343"/>
      <c r="DN18" s="343"/>
      <c r="DO18" s="343"/>
    </row>
    <row r="19" spans="1:119" s="184" customFormat="1" ht="15" customHeight="1">
      <c r="A19" s="180" t="s">
        <v>7</v>
      </c>
      <c r="B19" s="181" t="s">
        <v>80</v>
      </c>
      <c r="C19" s="182">
        <v>1</v>
      </c>
      <c r="D19" s="182">
        <v>2</v>
      </c>
      <c r="E19" s="182">
        <f aca="true" t="shared" si="57" ref="E19:N19">D19+1</f>
        <v>3</v>
      </c>
      <c r="F19" s="182">
        <f t="shared" si="57"/>
        <v>4</v>
      </c>
      <c r="G19" s="182">
        <f t="shared" si="57"/>
        <v>5</v>
      </c>
      <c r="H19" s="182">
        <f t="shared" si="57"/>
        <v>6</v>
      </c>
      <c r="I19" s="182">
        <f t="shared" si="57"/>
        <v>7</v>
      </c>
      <c r="J19" s="182">
        <f t="shared" si="57"/>
        <v>8</v>
      </c>
      <c r="K19" s="182">
        <f t="shared" si="57"/>
        <v>9</v>
      </c>
      <c r="L19" s="182">
        <f t="shared" si="57"/>
        <v>10</v>
      </c>
      <c r="M19" s="182">
        <f t="shared" si="57"/>
        <v>11</v>
      </c>
      <c r="N19" s="182">
        <f t="shared" si="57"/>
        <v>12</v>
      </c>
      <c r="O19" s="183">
        <f>O3</f>
        <v>0</v>
      </c>
      <c r="P19" s="182">
        <v>1</v>
      </c>
      <c r="Q19" s="182">
        <v>2</v>
      </c>
      <c r="R19" s="182">
        <f aca="true" t="shared" si="58" ref="R19:AA19">Q19+1</f>
        <v>3</v>
      </c>
      <c r="S19" s="182">
        <f t="shared" si="58"/>
        <v>4</v>
      </c>
      <c r="T19" s="182">
        <f t="shared" si="58"/>
        <v>5</v>
      </c>
      <c r="U19" s="182">
        <f t="shared" si="58"/>
        <v>6</v>
      </c>
      <c r="V19" s="182">
        <f t="shared" si="58"/>
        <v>7</v>
      </c>
      <c r="W19" s="182">
        <f t="shared" si="58"/>
        <v>8</v>
      </c>
      <c r="X19" s="182">
        <f t="shared" si="58"/>
        <v>9</v>
      </c>
      <c r="Y19" s="182">
        <f t="shared" si="58"/>
        <v>10</v>
      </c>
      <c r="Z19" s="182">
        <f t="shared" si="58"/>
        <v>11</v>
      </c>
      <c r="AA19" s="182">
        <f t="shared" si="58"/>
        <v>12</v>
      </c>
      <c r="AB19" s="183">
        <f>AB3</f>
        <v>0</v>
      </c>
      <c r="AC19" s="182">
        <v>1</v>
      </c>
      <c r="AD19" s="182">
        <v>2</v>
      </c>
      <c r="AE19" s="182">
        <f aca="true" t="shared" si="59" ref="AE19:AN19">AD19+1</f>
        <v>3</v>
      </c>
      <c r="AF19" s="182">
        <f t="shared" si="59"/>
        <v>4</v>
      </c>
      <c r="AG19" s="182">
        <f t="shared" si="59"/>
        <v>5</v>
      </c>
      <c r="AH19" s="182">
        <f t="shared" si="59"/>
        <v>6</v>
      </c>
      <c r="AI19" s="182">
        <f t="shared" si="59"/>
        <v>7</v>
      </c>
      <c r="AJ19" s="182">
        <f t="shared" si="59"/>
        <v>8</v>
      </c>
      <c r="AK19" s="182">
        <f t="shared" si="59"/>
        <v>9</v>
      </c>
      <c r="AL19" s="182">
        <f t="shared" si="59"/>
        <v>10</v>
      </c>
      <c r="AM19" s="182">
        <f t="shared" si="59"/>
        <v>11</v>
      </c>
      <c r="AN19" s="182">
        <f t="shared" si="59"/>
        <v>12</v>
      </c>
      <c r="AO19" s="183">
        <f>AO3</f>
        <v>0</v>
      </c>
      <c r="AP19" s="182">
        <v>1</v>
      </c>
      <c r="AQ19" s="182">
        <v>2</v>
      </c>
      <c r="AR19" s="182">
        <f aca="true" t="shared" si="60" ref="AR19:BA19">AQ19+1</f>
        <v>3</v>
      </c>
      <c r="AS19" s="182">
        <f t="shared" si="60"/>
        <v>4</v>
      </c>
      <c r="AT19" s="182">
        <f t="shared" si="60"/>
        <v>5</v>
      </c>
      <c r="AU19" s="182">
        <f t="shared" si="60"/>
        <v>6</v>
      </c>
      <c r="AV19" s="182">
        <f t="shared" si="60"/>
        <v>7</v>
      </c>
      <c r="AW19" s="182">
        <f t="shared" si="60"/>
        <v>8</v>
      </c>
      <c r="AX19" s="182">
        <f t="shared" si="60"/>
        <v>9</v>
      </c>
      <c r="AY19" s="182">
        <f t="shared" si="60"/>
        <v>10</v>
      </c>
      <c r="AZ19" s="182">
        <f t="shared" si="60"/>
        <v>11</v>
      </c>
      <c r="BA19" s="182">
        <f t="shared" si="60"/>
        <v>12</v>
      </c>
      <c r="BB19" s="183">
        <f>BB3</f>
        <v>0</v>
      </c>
      <c r="BC19" s="182">
        <v>1</v>
      </c>
      <c r="BD19" s="182">
        <v>2</v>
      </c>
      <c r="BE19" s="182">
        <f aca="true" t="shared" si="61" ref="BE19:BN19">BD19+1</f>
        <v>3</v>
      </c>
      <c r="BF19" s="182">
        <f t="shared" si="61"/>
        <v>4</v>
      </c>
      <c r="BG19" s="182">
        <f t="shared" si="61"/>
        <v>5</v>
      </c>
      <c r="BH19" s="182">
        <f t="shared" si="61"/>
        <v>6</v>
      </c>
      <c r="BI19" s="182">
        <f t="shared" si="61"/>
        <v>7</v>
      </c>
      <c r="BJ19" s="182">
        <f t="shared" si="61"/>
        <v>8</v>
      </c>
      <c r="BK19" s="182">
        <f t="shared" si="61"/>
        <v>9</v>
      </c>
      <c r="BL19" s="182">
        <f t="shared" si="61"/>
        <v>10</v>
      </c>
      <c r="BM19" s="182">
        <f t="shared" si="61"/>
        <v>11</v>
      </c>
      <c r="BN19" s="182">
        <f t="shared" si="61"/>
        <v>12</v>
      </c>
      <c r="BO19" s="183">
        <f>BO3</f>
        <v>0</v>
      </c>
      <c r="BP19" s="182">
        <v>1</v>
      </c>
      <c r="BQ19" s="182">
        <v>2</v>
      </c>
      <c r="BR19" s="182">
        <f aca="true" t="shared" si="62" ref="BR19:CA19">BQ19+1</f>
        <v>3</v>
      </c>
      <c r="BS19" s="182">
        <f t="shared" si="62"/>
        <v>4</v>
      </c>
      <c r="BT19" s="182">
        <f t="shared" si="62"/>
        <v>5</v>
      </c>
      <c r="BU19" s="182">
        <f t="shared" si="62"/>
        <v>6</v>
      </c>
      <c r="BV19" s="182">
        <f t="shared" si="62"/>
        <v>7</v>
      </c>
      <c r="BW19" s="182">
        <f t="shared" si="62"/>
        <v>8</v>
      </c>
      <c r="BX19" s="182">
        <f t="shared" si="62"/>
        <v>9</v>
      </c>
      <c r="BY19" s="182">
        <f t="shared" si="62"/>
        <v>10</v>
      </c>
      <c r="BZ19" s="182">
        <f t="shared" si="62"/>
        <v>11</v>
      </c>
      <c r="CA19" s="182">
        <f t="shared" si="62"/>
        <v>12</v>
      </c>
      <c r="CB19" s="183">
        <f>CB3</f>
        <v>0</v>
      </c>
      <c r="CC19" s="182">
        <v>1</v>
      </c>
      <c r="CD19" s="182">
        <v>2</v>
      </c>
      <c r="CE19" s="182">
        <f aca="true" t="shared" si="63" ref="CE19:CN19">CD19+1</f>
        <v>3</v>
      </c>
      <c r="CF19" s="182">
        <f t="shared" si="63"/>
        <v>4</v>
      </c>
      <c r="CG19" s="182">
        <f t="shared" si="63"/>
        <v>5</v>
      </c>
      <c r="CH19" s="182">
        <f t="shared" si="63"/>
        <v>6</v>
      </c>
      <c r="CI19" s="182">
        <f t="shared" si="63"/>
        <v>7</v>
      </c>
      <c r="CJ19" s="182">
        <f t="shared" si="63"/>
        <v>8</v>
      </c>
      <c r="CK19" s="182">
        <f t="shared" si="63"/>
        <v>9</v>
      </c>
      <c r="CL19" s="182">
        <f t="shared" si="63"/>
        <v>10</v>
      </c>
      <c r="CM19" s="182">
        <f t="shared" si="63"/>
        <v>11</v>
      </c>
      <c r="CN19" s="182">
        <f t="shared" si="63"/>
        <v>12</v>
      </c>
      <c r="CO19" s="183">
        <f>CO3</f>
        <v>0</v>
      </c>
      <c r="CP19" s="182">
        <v>1</v>
      </c>
      <c r="CQ19" s="182">
        <f aca="true" t="shared" si="64" ref="CQ19:DA19">CP19+1</f>
        <v>2</v>
      </c>
      <c r="CR19" s="182">
        <f t="shared" si="64"/>
        <v>3</v>
      </c>
      <c r="CS19" s="182">
        <f t="shared" si="64"/>
        <v>4</v>
      </c>
      <c r="CT19" s="182">
        <f t="shared" si="64"/>
        <v>5</v>
      </c>
      <c r="CU19" s="182">
        <f t="shared" si="64"/>
        <v>6</v>
      </c>
      <c r="CV19" s="182">
        <f t="shared" si="64"/>
        <v>7</v>
      </c>
      <c r="CW19" s="182">
        <f t="shared" si="64"/>
        <v>8</v>
      </c>
      <c r="CX19" s="182">
        <f t="shared" si="64"/>
        <v>9</v>
      </c>
      <c r="CY19" s="182">
        <f t="shared" si="64"/>
        <v>10</v>
      </c>
      <c r="CZ19" s="182">
        <f t="shared" si="64"/>
        <v>11</v>
      </c>
      <c r="DA19" s="182">
        <f t="shared" si="64"/>
        <v>12</v>
      </c>
      <c r="DB19" s="183">
        <f>DB3</f>
        <v>0</v>
      </c>
      <c r="DC19" s="182">
        <v>1</v>
      </c>
      <c r="DD19" s="182">
        <f aca="true" t="shared" si="65" ref="DD19:DN19">DC19+1</f>
        <v>2</v>
      </c>
      <c r="DE19" s="182">
        <f t="shared" si="65"/>
        <v>3</v>
      </c>
      <c r="DF19" s="182">
        <f t="shared" si="65"/>
        <v>4</v>
      </c>
      <c r="DG19" s="182">
        <f t="shared" si="65"/>
        <v>5</v>
      </c>
      <c r="DH19" s="182">
        <f t="shared" si="65"/>
        <v>6</v>
      </c>
      <c r="DI19" s="182">
        <f t="shared" si="65"/>
        <v>7</v>
      </c>
      <c r="DJ19" s="182">
        <f t="shared" si="65"/>
        <v>8</v>
      </c>
      <c r="DK19" s="182">
        <f t="shared" si="65"/>
        <v>9</v>
      </c>
      <c r="DL19" s="182">
        <f t="shared" si="65"/>
        <v>10</v>
      </c>
      <c r="DM19" s="182">
        <f t="shared" si="65"/>
        <v>11</v>
      </c>
      <c r="DN19" s="182">
        <f t="shared" si="65"/>
        <v>12</v>
      </c>
      <c r="DO19" s="183" t="s">
        <v>0</v>
      </c>
    </row>
    <row r="20" spans="1:119" ht="12.75">
      <c r="A20" s="180" t="s">
        <v>98</v>
      </c>
      <c r="B20" s="185">
        <f>O20+AB20+AO20+BB20+BO20+CB20+CO20+DB20+DO20</f>
        <v>599.25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>
        <f>'1-Ф3'!M$30</f>
        <v>599.25</v>
      </c>
      <c r="M20" s="186"/>
      <c r="N20" s="186"/>
      <c r="O20" s="187">
        <f>SUM(C20:N20)</f>
        <v>599.25</v>
      </c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>
        <f>SUM(P20:AA20)</f>
        <v>0</v>
      </c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>
        <f>SUM(AC20:AN20)</f>
        <v>0</v>
      </c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</row>
    <row r="21" spans="1:119" s="189" customFormat="1" ht="20.25" customHeight="1">
      <c r="A21" s="180" t="s">
        <v>27</v>
      </c>
      <c r="B21" s="185">
        <f>O21+AB21+AO21+BB21+BO21+CB21+CO21+DB21+DO21</f>
        <v>0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>
        <f>SUM(C21:N21)</f>
        <v>0</v>
      </c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7">
        <f>SUM(P21:AA21)</f>
        <v>0</v>
      </c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7">
        <f>SUM(AC21:AN21)</f>
        <v>0</v>
      </c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7">
        <f>SUM(AP21:BA21)</f>
        <v>0</v>
      </c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7">
        <f>SUM(BC21:BN21)</f>
        <v>0</v>
      </c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7">
        <f>SUM(BP21:CA21)</f>
        <v>0</v>
      </c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7">
        <f>SUM(CC21:CN21)</f>
        <v>0</v>
      </c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7">
        <f>SUM(CP21:DA21)</f>
        <v>0</v>
      </c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7">
        <f>SUM(DC21:DN21)</f>
        <v>0</v>
      </c>
    </row>
    <row r="22" spans="1:119" s="189" customFormat="1" ht="12.75">
      <c r="A22" s="190" t="s">
        <v>10</v>
      </c>
      <c r="B22" s="185">
        <f>O22+AB22+AO22+BB22+BO22+CB22+CO22+DB22+DO22</f>
        <v>71.75479382783054</v>
      </c>
      <c r="C22" s="186"/>
      <c r="D22" s="186">
        <f aca="true" t="shared" si="66" ref="D22:N22">C25*$B18/12</f>
        <v>0</v>
      </c>
      <c r="E22" s="186">
        <f t="shared" si="66"/>
        <v>0</v>
      </c>
      <c r="F22" s="186">
        <f t="shared" si="66"/>
        <v>0</v>
      </c>
      <c r="G22" s="186">
        <f t="shared" si="66"/>
        <v>0</v>
      </c>
      <c r="H22" s="186">
        <f t="shared" si="66"/>
        <v>0</v>
      </c>
      <c r="I22" s="186">
        <f t="shared" si="66"/>
        <v>0</v>
      </c>
      <c r="J22" s="186">
        <f t="shared" si="66"/>
        <v>0</v>
      </c>
      <c r="K22" s="186">
        <f t="shared" si="66"/>
        <v>0</v>
      </c>
      <c r="L22" s="186">
        <f t="shared" si="66"/>
        <v>0</v>
      </c>
      <c r="M22" s="186">
        <f t="shared" si="66"/>
        <v>3.4956250000000004</v>
      </c>
      <c r="N22" s="186">
        <f t="shared" si="66"/>
        <v>3.4956250000000004</v>
      </c>
      <c r="O22" s="187">
        <f>SUM(C22:N22)</f>
        <v>6.991250000000001</v>
      </c>
      <c r="P22" s="186">
        <f aca="true" t="shared" si="67" ref="P22:AA22">O25*$B18/12</f>
        <v>3.4956250000000004</v>
      </c>
      <c r="Q22" s="186">
        <f t="shared" si="67"/>
        <v>3.4956250000000004</v>
      </c>
      <c r="R22" s="186">
        <f t="shared" si="67"/>
        <v>3.399257927858718</v>
      </c>
      <c r="S22" s="186">
        <f t="shared" si="67"/>
        <v>3.302328714463277</v>
      </c>
      <c r="T22" s="186">
        <f t="shared" si="67"/>
        <v>3.2048340806563638</v>
      </c>
      <c r="U22" s="186">
        <f t="shared" si="67"/>
        <v>3.1067707281522434</v>
      </c>
      <c r="V22" s="186">
        <f t="shared" si="67"/>
        <v>3.0081353394251824</v>
      </c>
      <c r="W22" s="186">
        <f t="shared" si="67"/>
        <v>2.908924577597213</v>
      </c>
      <c r="X22" s="186">
        <f t="shared" si="67"/>
        <v>2.8091350863252473</v>
      </c>
      <c r="Y22" s="186">
        <f t="shared" si="67"/>
        <v>2.7087634896875286</v>
      </c>
      <c r="Z22" s="186">
        <f t="shared" si="67"/>
        <v>2.6078063920694228</v>
      </c>
      <c r="AA22" s="186">
        <f t="shared" si="67"/>
        <v>2.5062603780485446</v>
      </c>
      <c r="AB22" s="187">
        <f>SUM(P22:AA22)</f>
        <v>36.553466714283736</v>
      </c>
      <c r="AC22" s="186">
        <f aca="true" t="shared" si="68" ref="AC22:AN22">AB25*$B18/12</f>
        <v>2.404122012279212</v>
      </c>
      <c r="AD22" s="186">
        <f t="shared" si="68"/>
        <v>2.3013878393762246</v>
      </c>
      <c r="AE22" s="186">
        <f t="shared" si="68"/>
        <v>2.19805438379797</v>
      </c>
      <c r="AF22" s="186">
        <f t="shared" si="68"/>
        <v>2.094118149728842</v>
      </c>
      <c r="AG22" s="186">
        <f t="shared" si="68"/>
        <v>1.9895756209609774</v>
      </c>
      <c r="AH22" s="186">
        <f t="shared" si="68"/>
        <v>1.8844232607753002</v>
      </c>
      <c r="AI22" s="186">
        <f t="shared" si="68"/>
        <v>1.7786575118218735</v>
      </c>
      <c r="AJ22" s="186">
        <f t="shared" si="68"/>
        <v>1.6722747959995516</v>
      </c>
      <c r="AK22" s="186">
        <f t="shared" si="68"/>
        <v>1.565271514334933</v>
      </c>
      <c r="AL22" s="186">
        <f t="shared" si="68"/>
        <v>1.4576440468606042</v>
      </c>
      <c r="AM22" s="186">
        <f t="shared" si="68"/>
        <v>1.3493887524926749</v>
      </c>
      <c r="AN22" s="186">
        <f t="shared" si="68"/>
        <v>1.2405019689075993</v>
      </c>
      <c r="AO22" s="187">
        <f>SUM(AC22:AN22)</f>
        <v>21.935419857335763</v>
      </c>
      <c r="AP22" s="186">
        <f aca="true" t="shared" si="69" ref="AP22:BA22">AO25*$B18/12</f>
        <v>1.1309800124182774</v>
      </c>
      <c r="AQ22" s="186">
        <f t="shared" si="69"/>
        <v>1.0208191778494347</v>
      </c>
      <c r="AR22" s="186">
        <f t="shared" si="69"/>
        <v>0.9100157384122736</v>
      </c>
      <c r="AS22" s="186">
        <f t="shared" si="69"/>
        <v>0.7985659455783957</v>
      </c>
      <c r="AT22" s="186">
        <f t="shared" si="69"/>
        <v>0.6864660289529869</v>
      </c>
      <c r="AU22" s="186">
        <f t="shared" si="69"/>
        <v>0.5737121961472632</v>
      </c>
      <c r="AV22" s="186">
        <f t="shared" si="69"/>
        <v>0.4603006326501729</v>
      </c>
      <c r="AW22" s="186">
        <f t="shared" si="69"/>
        <v>0.34622750169934946</v>
      </c>
      <c r="AX22" s="186">
        <f t="shared" si="69"/>
        <v>0.2314889441513129</v>
      </c>
      <c r="AY22" s="186">
        <f t="shared" si="69"/>
        <v>0.1160810783509128</v>
      </c>
      <c r="AZ22" s="186">
        <f t="shared" si="69"/>
        <v>1.0362081563168127E-14</v>
      </c>
      <c r="BA22" s="186">
        <f t="shared" si="69"/>
        <v>1.0362081563168127E-14</v>
      </c>
      <c r="BB22" s="187">
        <f>SUM(AP22:BA22)</f>
        <v>6.274657256210402</v>
      </c>
      <c r="BC22" s="186">
        <f aca="true" t="shared" si="70" ref="BC22:BN22">BB25*$B18/12</f>
        <v>1.0362081563168127E-14</v>
      </c>
      <c r="BD22" s="186">
        <f t="shared" si="70"/>
        <v>1.0362081563168127E-14</v>
      </c>
      <c r="BE22" s="186">
        <f t="shared" si="70"/>
        <v>1.0362081563168127E-14</v>
      </c>
      <c r="BF22" s="186">
        <f t="shared" si="70"/>
        <v>1.0362081563168127E-14</v>
      </c>
      <c r="BG22" s="186">
        <f t="shared" si="70"/>
        <v>1.0362081563168127E-14</v>
      </c>
      <c r="BH22" s="186">
        <f t="shared" si="70"/>
        <v>1.0362081563168127E-14</v>
      </c>
      <c r="BI22" s="186">
        <f t="shared" si="70"/>
        <v>1.0362081563168127E-14</v>
      </c>
      <c r="BJ22" s="186">
        <f t="shared" si="70"/>
        <v>1.0362081563168127E-14</v>
      </c>
      <c r="BK22" s="186">
        <f t="shared" si="70"/>
        <v>1.0362081563168127E-14</v>
      </c>
      <c r="BL22" s="186">
        <f t="shared" si="70"/>
        <v>1.0362081563168127E-14</v>
      </c>
      <c r="BM22" s="186">
        <f t="shared" si="70"/>
        <v>1.0362081563168127E-14</v>
      </c>
      <c r="BN22" s="186">
        <f t="shared" si="70"/>
        <v>1.0362081563168127E-14</v>
      </c>
      <c r="BO22" s="187">
        <f>SUM(BC22:BN22)</f>
        <v>1.2434497875801753E-13</v>
      </c>
      <c r="BP22" s="186">
        <f aca="true" t="shared" si="71" ref="BP22:CA22">BO25*$B18/12</f>
        <v>1.0362081563168127E-14</v>
      </c>
      <c r="BQ22" s="186">
        <f t="shared" si="71"/>
        <v>1.0362081563168127E-14</v>
      </c>
      <c r="BR22" s="186">
        <f t="shared" si="71"/>
        <v>1.0362081563168127E-14</v>
      </c>
      <c r="BS22" s="186">
        <f t="shared" si="71"/>
        <v>1.0362081563168127E-14</v>
      </c>
      <c r="BT22" s="186">
        <f t="shared" si="71"/>
        <v>1.0362081563168127E-14</v>
      </c>
      <c r="BU22" s="186">
        <f t="shared" si="71"/>
        <v>1.0362081563168127E-14</v>
      </c>
      <c r="BV22" s="186">
        <f t="shared" si="71"/>
        <v>1.0362081563168127E-14</v>
      </c>
      <c r="BW22" s="186">
        <f t="shared" si="71"/>
        <v>1.0362081563168127E-14</v>
      </c>
      <c r="BX22" s="186">
        <f t="shared" si="71"/>
        <v>1.0362081563168127E-14</v>
      </c>
      <c r="BY22" s="186">
        <f t="shared" si="71"/>
        <v>1.0362081563168127E-14</v>
      </c>
      <c r="BZ22" s="186">
        <f t="shared" si="71"/>
        <v>1.0362081563168127E-14</v>
      </c>
      <c r="CA22" s="186">
        <f t="shared" si="71"/>
        <v>1.0362081563168127E-14</v>
      </c>
      <c r="CB22" s="187">
        <f>SUM(BP22:CA22)</f>
        <v>1.2434497875801753E-13</v>
      </c>
      <c r="CC22" s="186">
        <f aca="true" t="shared" si="72" ref="CC22:CN22">CB25*$B18/12</f>
        <v>1.0362081563168127E-14</v>
      </c>
      <c r="CD22" s="186">
        <f t="shared" si="72"/>
        <v>1.0362081563168127E-14</v>
      </c>
      <c r="CE22" s="186">
        <f t="shared" si="72"/>
        <v>1.0362081563168127E-14</v>
      </c>
      <c r="CF22" s="186">
        <f t="shared" si="72"/>
        <v>1.0362081563168127E-14</v>
      </c>
      <c r="CG22" s="186">
        <f t="shared" si="72"/>
        <v>1.0362081563168127E-14</v>
      </c>
      <c r="CH22" s="186">
        <f t="shared" si="72"/>
        <v>1.0362081563168127E-14</v>
      </c>
      <c r="CI22" s="186">
        <f t="shared" si="72"/>
        <v>1.0362081563168127E-14</v>
      </c>
      <c r="CJ22" s="186">
        <f t="shared" si="72"/>
        <v>1.0362081563168127E-14</v>
      </c>
      <c r="CK22" s="186">
        <f t="shared" si="72"/>
        <v>1.0362081563168127E-14</v>
      </c>
      <c r="CL22" s="186">
        <f t="shared" si="72"/>
        <v>1.0362081563168127E-14</v>
      </c>
      <c r="CM22" s="186">
        <f t="shared" si="72"/>
        <v>1.0362081563168127E-14</v>
      </c>
      <c r="CN22" s="186">
        <f t="shared" si="72"/>
        <v>1.0362081563168127E-14</v>
      </c>
      <c r="CO22" s="187">
        <f>SUM(CC22:CN22)</f>
        <v>1.2434497875801753E-13</v>
      </c>
      <c r="CP22" s="186">
        <f aca="true" t="shared" si="73" ref="CP22:DA22">CO25*$B18/12</f>
        <v>1.0362081563168127E-14</v>
      </c>
      <c r="CQ22" s="186">
        <f t="shared" si="73"/>
        <v>1.0362081563168127E-14</v>
      </c>
      <c r="CR22" s="186">
        <f t="shared" si="73"/>
        <v>1.0362081563168127E-14</v>
      </c>
      <c r="CS22" s="186">
        <f t="shared" si="73"/>
        <v>1.0362081563168127E-14</v>
      </c>
      <c r="CT22" s="186">
        <f t="shared" si="73"/>
        <v>1.0362081563168127E-14</v>
      </c>
      <c r="CU22" s="186">
        <f t="shared" si="73"/>
        <v>1.0362081563168127E-14</v>
      </c>
      <c r="CV22" s="186">
        <f t="shared" si="73"/>
        <v>1.0362081563168127E-14</v>
      </c>
      <c r="CW22" s="186">
        <f t="shared" si="73"/>
        <v>1.0362081563168127E-14</v>
      </c>
      <c r="CX22" s="186">
        <f t="shared" si="73"/>
        <v>1.0362081563168127E-14</v>
      </c>
      <c r="CY22" s="186">
        <f t="shared" si="73"/>
        <v>1.0362081563168127E-14</v>
      </c>
      <c r="CZ22" s="186">
        <f t="shared" si="73"/>
        <v>1.0362081563168127E-14</v>
      </c>
      <c r="DA22" s="186">
        <f t="shared" si="73"/>
        <v>1.0362081563168127E-14</v>
      </c>
      <c r="DB22" s="187">
        <f>SUM(CP22:DA22)</f>
        <v>1.2434497875801753E-13</v>
      </c>
      <c r="DC22" s="186">
        <f aca="true" t="shared" si="74" ref="DC22:DN22">DB25*$B18/12</f>
        <v>1.0362081563168127E-14</v>
      </c>
      <c r="DD22" s="186">
        <f t="shared" si="74"/>
        <v>1.0362081563168127E-14</v>
      </c>
      <c r="DE22" s="186">
        <f t="shared" si="74"/>
        <v>1.0362081563168127E-14</v>
      </c>
      <c r="DF22" s="186">
        <f t="shared" si="74"/>
        <v>1.0362081563168127E-14</v>
      </c>
      <c r="DG22" s="186">
        <f t="shared" si="74"/>
        <v>1.0362081563168127E-14</v>
      </c>
      <c r="DH22" s="186">
        <f t="shared" si="74"/>
        <v>1.0362081563168127E-14</v>
      </c>
      <c r="DI22" s="186">
        <f t="shared" si="74"/>
        <v>1.0362081563168127E-14</v>
      </c>
      <c r="DJ22" s="186">
        <f t="shared" si="74"/>
        <v>1.0362081563168127E-14</v>
      </c>
      <c r="DK22" s="186">
        <f t="shared" si="74"/>
        <v>1.0362081563168127E-14</v>
      </c>
      <c r="DL22" s="186">
        <f t="shared" si="74"/>
        <v>1.0362081563168127E-14</v>
      </c>
      <c r="DM22" s="186">
        <f t="shared" si="74"/>
        <v>1.0362081563168127E-14</v>
      </c>
      <c r="DN22" s="186">
        <f t="shared" si="74"/>
        <v>1.0362081563168127E-14</v>
      </c>
      <c r="DO22" s="187">
        <f>SUM(DC22:DN22)</f>
        <v>1.2434497875801753E-13</v>
      </c>
    </row>
    <row r="23" spans="1:119" ht="12.75">
      <c r="A23" s="180" t="s">
        <v>11</v>
      </c>
      <c r="B23" s="185">
        <f>O23+AB23+AO23+BB23+BO23+CB23+CO23+DB23+DO23</f>
        <v>599.2499999999983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91"/>
      <c r="N23" s="191"/>
      <c r="O23" s="187">
        <f>SUM(C23:N23)</f>
        <v>0</v>
      </c>
      <c r="P23" s="191"/>
      <c r="Q23" s="186">
        <f aca="true" t="shared" si="75" ref="Q23:W23">$B27-Q22</f>
        <v>16.520069509934185</v>
      </c>
      <c r="R23" s="186">
        <f t="shared" si="75"/>
        <v>16.61643658207547</v>
      </c>
      <c r="S23" s="186">
        <f t="shared" si="75"/>
        <v>16.713365795470907</v>
      </c>
      <c r="T23" s="186">
        <f t="shared" si="75"/>
        <v>16.81086042927782</v>
      </c>
      <c r="U23" s="186">
        <f t="shared" si="75"/>
        <v>16.908923781781944</v>
      </c>
      <c r="V23" s="186">
        <f t="shared" si="75"/>
        <v>17.007559170509005</v>
      </c>
      <c r="W23" s="186">
        <f t="shared" si="75"/>
        <v>17.106769932336974</v>
      </c>
      <c r="X23" s="186">
        <f>$B27-X22</f>
        <v>17.206559423608937</v>
      </c>
      <c r="Y23" s="186">
        <f>$B27-Y22</f>
        <v>17.306931020246658</v>
      </c>
      <c r="Z23" s="186">
        <f>$B27-Z22</f>
        <v>17.40788811786476</v>
      </c>
      <c r="AA23" s="186">
        <f>$B27-AA22</f>
        <v>17.50943413188564</v>
      </c>
      <c r="AB23" s="187">
        <f>SUM(P23:AA23)</f>
        <v>187.1147978949923</v>
      </c>
      <c r="AC23" s="186">
        <f aca="true" t="shared" si="76" ref="AC23:AN23">$B27-AC22</f>
        <v>17.611572497654972</v>
      </c>
      <c r="AD23" s="186">
        <f t="shared" si="76"/>
        <v>17.71430667055796</v>
      </c>
      <c r="AE23" s="186">
        <f t="shared" si="76"/>
        <v>17.817640126136215</v>
      </c>
      <c r="AF23" s="186">
        <f t="shared" si="76"/>
        <v>17.921576360205343</v>
      </c>
      <c r="AG23" s="186">
        <f t="shared" si="76"/>
        <v>18.02611888897321</v>
      </c>
      <c r="AH23" s="186">
        <f t="shared" si="76"/>
        <v>18.131271249158885</v>
      </c>
      <c r="AI23" s="186">
        <f t="shared" si="76"/>
        <v>18.237036998112313</v>
      </c>
      <c r="AJ23" s="186">
        <f t="shared" si="76"/>
        <v>18.343419713934633</v>
      </c>
      <c r="AK23" s="186">
        <f t="shared" si="76"/>
        <v>18.450422995599254</v>
      </c>
      <c r="AL23" s="186">
        <f t="shared" si="76"/>
        <v>18.55805046307358</v>
      </c>
      <c r="AM23" s="186">
        <f t="shared" si="76"/>
        <v>18.66630575744151</v>
      </c>
      <c r="AN23" s="186">
        <f t="shared" si="76"/>
        <v>18.775192541026588</v>
      </c>
      <c r="AO23" s="187">
        <f>SUM(AC23:AN23)</f>
        <v>218.25291426187448</v>
      </c>
      <c r="AP23" s="186">
        <f aca="true" t="shared" si="77" ref="AP23:AY23">$B27-AP22</f>
        <v>18.88471449751591</v>
      </c>
      <c r="AQ23" s="186">
        <f t="shared" si="77"/>
        <v>18.99487533208475</v>
      </c>
      <c r="AR23" s="186">
        <f t="shared" si="77"/>
        <v>19.105678771521912</v>
      </c>
      <c r="AS23" s="186">
        <f t="shared" si="77"/>
        <v>19.21712856435579</v>
      </c>
      <c r="AT23" s="186">
        <f t="shared" si="77"/>
        <v>19.3292284809812</v>
      </c>
      <c r="AU23" s="186">
        <f t="shared" si="77"/>
        <v>19.441982313786923</v>
      </c>
      <c r="AV23" s="186">
        <f t="shared" si="77"/>
        <v>19.55539387728401</v>
      </c>
      <c r="AW23" s="186">
        <f t="shared" si="77"/>
        <v>19.669467008234836</v>
      </c>
      <c r="AX23" s="186">
        <f t="shared" si="77"/>
        <v>19.784205565782873</v>
      </c>
      <c r="AY23" s="186">
        <f t="shared" si="77"/>
        <v>19.899613431583273</v>
      </c>
      <c r="AZ23" s="186"/>
      <c r="BA23" s="186"/>
      <c r="BB23" s="187">
        <f>SUM(AP23:BA23)</f>
        <v>193.8822878431315</v>
      </c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7">
        <f>SUM(BC23:BN23)</f>
        <v>0</v>
      </c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7">
        <f>SUM(BP23:CA23)</f>
        <v>0</v>
      </c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7">
        <f>SUM(CC23:CN23)</f>
        <v>0</v>
      </c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7">
        <f>SUM(CP23:DA23)</f>
        <v>0</v>
      </c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7">
        <f>SUM(DC23:DN23)</f>
        <v>0</v>
      </c>
    </row>
    <row r="24" spans="1:119" ht="12.75">
      <c r="A24" s="180" t="s">
        <v>12</v>
      </c>
      <c r="B24" s="185">
        <f>O24+AB24+AO24+BB24+BO24+CB24+CO24+DB24+DO24</f>
        <v>71.75479382783054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>
        <f>M22</f>
        <v>3.4956250000000004</v>
      </c>
      <c r="N24" s="186">
        <f>N22</f>
        <v>3.4956250000000004</v>
      </c>
      <c r="O24" s="187">
        <f>SUM(C24:N24)</f>
        <v>6.991250000000001</v>
      </c>
      <c r="P24" s="186">
        <f aca="true" t="shared" si="78" ref="P24:U24">P22</f>
        <v>3.4956250000000004</v>
      </c>
      <c r="Q24" s="186">
        <f t="shared" si="78"/>
        <v>3.4956250000000004</v>
      </c>
      <c r="R24" s="186">
        <f t="shared" si="78"/>
        <v>3.399257927858718</v>
      </c>
      <c r="S24" s="186">
        <f t="shared" si="78"/>
        <v>3.302328714463277</v>
      </c>
      <c r="T24" s="186">
        <f t="shared" si="78"/>
        <v>3.2048340806563638</v>
      </c>
      <c r="U24" s="186">
        <f t="shared" si="78"/>
        <v>3.1067707281522434</v>
      </c>
      <c r="V24" s="186">
        <f aca="true" t="shared" si="79" ref="V24:AA24">V22</f>
        <v>3.0081353394251824</v>
      </c>
      <c r="W24" s="186">
        <f t="shared" si="79"/>
        <v>2.908924577597213</v>
      </c>
      <c r="X24" s="186">
        <f t="shared" si="79"/>
        <v>2.8091350863252473</v>
      </c>
      <c r="Y24" s="186">
        <f t="shared" si="79"/>
        <v>2.7087634896875286</v>
      </c>
      <c r="Z24" s="186">
        <f t="shared" si="79"/>
        <v>2.6078063920694228</v>
      </c>
      <c r="AA24" s="186">
        <f t="shared" si="79"/>
        <v>2.5062603780485446</v>
      </c>
      <c r="AB24" s="187">
        <f>SUM(P24:AA24)</f>
        <v>36.553466714283736</v>
      </c>
      <c r="AC24" s="186">
        <f aca="true" t="shared" si="80" ref="AC24:AK24">AC22</f>
        <v>2.404122012279212</v>
      </c>
      <c r="AD24" s="186">
        <f t="shared" si="80"/>
        <v>2.3013878393762246</v>
      </c>
      <c r="AE24" s="186">
        <f t="shared" si="80"/>
        <v>2.19805438379797</v>
      </c>
      <c r="AF24" s="186">
        <f t="shared" si="80"/>
        <v>2.094118149728842</v>
      </c>
      <c r="AG24" s="186">
        <f t="shared" si="80"/>
        <v>1.9895756209609774</v>
      </c>
      <c r="AH24" s="186">
        <f t="shared" si="80"/>
        <v>1.8844232607753002</v>
      </c>
      <c r="AI24" s="186">
        <f t="shared" si="80"/>
        <v>1.7786575118218735</v>
      </c>
      <c r="AJ24" s="186">
        <f t="shared" si="80"/>
        <v>1.6722747959995516</v>
      </c>
      <c r="AK24" s="186">
        <f t="shared" si="80"/>
        <v>1.565271514334933</v>
      </c>
      <c r="AL24" s="186">
        <f>AL22</f>
        <v>1.4576440468606042</v>
      </c>
      <c r="AM24" s="186">
        <f>AM22</f>
        <v>1.3493887524926749</v>
      </c>
      <c r="AN24" s="186">
        <f>AN22</f>
        <v>1.2405019689075993</v>
      </c>
      <c r="AO24" s="187">
        <f>SUM(AC24:AN24)</f>
        <v>21.935419857335763</v>
      </c>
      <c r="AP24" s="186">
        <f aca="true" t="shared" si="81" ref="AP24:BA24">AP22</f>
        <v>1.1309800124182774</v>
      </c>
      <c r="AQ24" s="186">
        <f t="shared" si="81"/>
        <v>1.0208191778494347</v>
      </c>
      <c r="AR24" s="186">
        <f t="shared" si="81"/>
        <v>0.9100157384122736</v>
      </c>
      <c r="AS24" s="186">
        <f t="shared" si="81"/>
        <v>0.7985659455783957</v>
      </c>
      <c r="AT24" s="186">
        <f t="shared" si="81"/>
        <v>0.6864660289529869</v>
      </c>
      <c r="AU24" s="186">
        <f t="shared" si="81"/>
        <v>0.5737121961472632</v>
      </c>
      <c r="AV24" s="186">
        <f t="shared" si="81"/>
        <v>0.4603006326501729</v>
      </c>
      <c r="AW24" s="186">
        <f t="shared" si="81"/>
        <v>0.34622750169934946</v>
      </c>
      <c r="AX24" s="186">
        <f t="shared" si="81"/>
        <v>0.2314889441513129</v>
      </c>
      <c r="AY24" s="186">
        <f t="shared" si="81"/>
        <v>0.1160810783509128</v>
      </c>
      <c r="AZ24" s="186">
        <f t="shared" si="81"/>
        <v>1.0362081563168127E-14</v>
      </c>
      <c r="BA24" s="186">
        <f t="shared" si="81"/>
        <v>1.0362081563168127E-14</v>
      </c>
      <c r="BB24" s="187">
        <f>SUM(AP24:BA24)</f>
        <v>6.274657256210402</v>
      </c>
      <c r="BC24" s="186">
        <f aca="true" t="shared" si="82" ref="BC24:BN24">BC22</f>
        <v>1.0362081563168127E-14</v>
      </c>
      <c r="BD24" s="186">
        <f t="shared" si="82"/>
        <v>1.0362081563168127E-14</v>
      </c>
      <c r="BE24" s="186">
        <f t="shared" si="82"/>
        <v>1.0362081563168127E-14</v>
      </c>
      <c r="BF24" s="186">
        <f t="shared" si="82"/>
        <v>1.0362081563168127E-14</v>
      </c>
      <c r="BG24" s="186">
        <f t="shared" si="82"/>
        <v>1.0362081563168127E-14</v>
      </c>
      <c r="BH24" s="186">
        <f t="shared" si="82"/>
        <v>1.0362081563168127E-14</v>
      </c>
      <c r="BI24" s="186">
        <f t="shared" si="82"/>
        <v>1.0362081563168127E-14</v>
      </c>
      <c r="BJ24" s="186">
        <f t="shared" si="82"/>
        <v>1.0362081563168127E-14</v>
      </c>
      <c r="BK24" s="186">
        <f t="shared" si="82"/>
        <v>1.0362081563168127E-14</v>
      </c>
      <c r="BL24" s="186">
        <f t="shared" si="82"/>
        <v>1.0362081563168127E-14</v>
      </c>
      <c r="BM24" s="186">
        <f t="shared" si="82"/>
        <v>1.0362081563168127E-14</v>
      </c>
      <c r="BN24" s="186">
        <f t="shared" si="82"/>
        <v>1.0362081563168127E-14</v>
      </c>
      <c r="BO24" s="187">
        <f>SUM(BC24:BN24)</f>
        <v>1.2434497875801753E-13</v>
      </c>
      <c r="BP24" s="186">
        <f aca="true" t="shared" si="83" ref="BP24:CA24">BP22</f>
        <v>1.0362081563168127E-14</v>
      </c>
      <c r="BQ24" s="186">
        <f t="shared" si="83"/>
        <v>1.0362081563168127E-14</v>
      </c>
      <c r="BR24" s="186">
        <f t="shared" si="83"/>
        <v>1.0362081563168127E-14</v>
      </c>
      <c r="BS24" s="186">
        <f t="shared" si="83"/>
        <v>1.0362081563168127E-14</v>
      </c>
      <c r="BT24" s="186">
        <f t="shared" si="83"/>
        <v>1.0362081563168127E-14</v>
      </c>
      <c r="BU24" s="186">
        <f t="shared" si="83"/>
        <v>1.0362081563168127E-14</v>
      </c>
      <c r="BV24" s="186">
        <f t="shared" si="83"/>
        <v>1.0362081563168127E-14</v>
      </c>
      <c r="BW24" s="186">
        <f t="shared" si="83"/>
        <v>1.0362081563168127E-14</v>
      </c>
      <c r="BX24" s="186">
        <f t="shared" si="83"/>
        <v>1.0362081563168127E-14</v>
      </c>
      <c r="BY24" s="186">
        <f t="shared" si="83"/>
        <v>1.0362081563168127E-14</v>
      </c>
      <c r="BZ24" s="186">
        <f t="shared" si="83"/>
        <v>1.0362081563168127E-14</v>
      </c>
      <c r="CA24" s="186">
        <f t="shared" si="83"/>
        <v>1.0362081563168127E-14</v>
      </c>
      <c r="CB24" s="187">
        <f>SUM(BP24:CA24)</f>
        <v>1.2434497875801753E-13</v>
      </c>
      <c r="CC24" s="186">
        <f aca="true" t="shared" si="84" ref="CC24:CN24">CC22</f>
        <v>1.0362081563168127E-14</v>
      </c>
      <c r="CD24" s="186">
        <f t="shared" si="84"/>
        <v>1.0362081563168127E-14</v>
      </c>
      <c r="CE24" s="186">
        <f t="shared" si="84"/>
        <v>1.0362081563168127E-14</v>
      </c>
      <c r="CF24" s="186">
        <f t="shared" si="84"/>
        <v>1.0362081563168127E-14</v>
      </c>
      <c r="CG24" s="186">
        <f t="shared" si="84"/>
        <v>1.0362081563168127E-14</v>
      </c>
      <c r="CH24" s="186">
        <f t="shared" si="84"/>
        <v>1.0362081563168127E-14</v>
      </c>
      <c r="CI24" s="186">
        <f t="shared" si="84"/>
        <v>1.0362081563168127E-14</v>
      </c>
      <c r="CJ24" s="186">
        <f t="shared" si="84"/>
        <v>1.0362081563168127E-14</v>
      </c>
      <c r="CK24" s="186">
        <f t="shared" si="84"/>
        <v>1.0362081563168127E-14</v>
      </c>
      <c r="CL24" s="186">
        <f t="shared" si="84"/>
        <v>1.0362081563168127E-14</v>
      </c>
      <c r="CM24" s="186">
        <f t="shared" si="84"/>
        <v>1.0362081563168127E-14</v>
      </c>
      <c r="CN24" s="186">
        <f t="shared" si="84"/>
        <v>1.0362081563168127E-14</v>
      </c>
      <c r="CO24" s="187">
        <f>SUM(CC24:CN24)</f>
        <v>1.2434497875801753E-13</v>
      </c>
      <c r="CP24" s="186">
        <f aca="true" t="shared" si="85" ref="CP24:DA24">CP22</f>
        <v>1.0362081563168127E-14</v>
      </c>
      <c r="CQ24" s="186">
        <f t="shared" si="85"/>
        <v>1.0362081563168127E-14</v>
      </c>
      <c r="CR24" s="186">
        <f t="shared" si="85"/>
        <v>1.0362081563168127E-14</v>
      </c>
      <c r="CS24" s="186">
        <f t="shared" si="85"/>
        <v>1.0362081563168127E-14</v>
      </c>
      <c r="CT24" s="186">
        <f t="shared" si="85"/>
        <v>1.0362081563168127E-14</v>
      </c>
      <c r="CU24" s="186">
        <f t="shared" si="85"/>
        <v>1.0362081563168127E-14</v>
      </c>
      <c r="CV24" s="186">
        <f t="shared" si="85"/>
        <v>1.0362081563168127E-14</v>
      </c>
      <c r="CW24" s="186">
        <f t="shared" si="85"/>
        <v>1.0362081563168127E-14</v>
      </c>
      <c r="CX24" s="186">
        <f t="shared" si="85"/>
        <v>1.0362081563168127E-14</v>
      </c>
      <c r="CY24" s="186">
        <f t="shared" si="85"/>
        <v>1.0362081563168127E-14</v>
      </c>
      <c r="CZ24" s="186">
        <f t="shared" si="85"/>
        <v>1.0362081563168127E-14</v>
      </c>
      <c r="DA24" s="186">
        <f t="shared" si="85"/>
        <v>1.0362081563168127E-14</v>
      </c>
      <c r="DB24" s="187">
        <f>SUM(CP24:DA24)</f>
        <v>1.2434497875801753E-13</v>
      </c>
      <c r="DC24" s="186">
        <f aca="true" t="shared" si="86" ref="DC24:DN24">DC22</f>
        <v>1.0362081563168127E-14</v>
      </c>
      <c r="DD24" s="186">
        <f t="shared" si="86"/>
        <v>1.0362081563168127E-14</v>
      </c>
      <c r="DE24" s="186">
        <f t="shared" si="86"/>
        <v>1.0362081563168127E-14</v>
      </c>
      <c r="DF24" s="186">
        <f t="shared" si="86"/>
        <v>1.0362081563168127E-14</v>
      </c>
      <c r="DG24" s="186">
        <f t="shared" si="86"/>
        <v>1.0362081563168127E-14</v>
      </c>
      <c r="DH24" s="186">
        <f t="shared" si="86"/>
        <v>1.0362081563168127E-14</v>
      </c>
      <c r="DI24" s="186">
        <f t="shared" si="86"/>
        <v>1.0362081563168127E-14</v>
      </c>
      <c r="DJ24" s="186">
        <f t="shared" si="86"/>
        <v>1.0362081563168127E-14</v>
      </c>
      <c r="DK24" s="186">
        <f t="shared" si="86"/>
        <v>1.0362081563168127E-14</v>
      </c>
      <c r="DL24" s="186">
        <f t="shared" si="86"/>
        <v>1.0362081563168127E-14</v>
      </c>
      <c r="DM24" s="186">
        <f t="shared" si="86"/>
        <v>1.0362081563168127E-14</v>
      </c>
      <c r="DN24" s="186">
        <f t="shared" si="86"/>
        <v>1.0362081563168127E-14</v>
      </c>
      <c r="DO24" s="187">
        <f>SUM(DC24:DN24)</f>
        <v>1.2434497875801753E-13</v>
      </c>
    </row>
    <row r="25" spans="1:119" ht="12.75">
      <c r="A25" s="180" t="s">
        <v>13</v>
      </c>
      <c r="B25" s="185">
        <f>DO25</f>
        <v>1.7763568394002505E-12</v>
      </c>
      <c r="C25" s="186">
        <f>C20</f>
        <v>0</v>
      </c>
      <c r="D25" s="186">
        <f aca="true" t="shared" si="87" ref="D25:N25">C25+D20-D23+D21</f>
        <v>0</v>
      </c>
      <c r="E25" s="186">
        <f t="shared" si="87"/>
        <v>0</v>
      </c>
      <c r="F25" s="186">
        <f t="shared" si="87"/>
        <v>0</v>
      </c>
      <c r="G25" s="186">
        <f t="shared" si="87"/>
        <v>0</v>
      </c>
      <c r="H25" s="186">
        <f t="shared" si="87"/>
        <v>0</v>
      </c>
      <c r="I25" s="186">
        <f t="shared" si="87"/>
        <v>0</v>
      </c>
      <c r="J25" s="186">
        <f t="shared" si="87"/>
        <v>0</v>
      </c>
      <c r="K25" s="186">
        <f t="shared" si="87"/>
        <v>0</v>
      </c>
      <c r="L25" s="186">
        <f t="shared" si="87"/>
        <v>599.25</v>
      </c>
      <c r="M25" s="186">
        <f t="shared" si="87"/>
        <v>599.25</v>
      </c>
      <c r="N25" s="186">
        <f t="shared" si="87"/>
        <v>599.25</v>
      </c>
      <c r="O25" s="187">
        <f>N25</f>
        <v>599.25</v>
      </c>
      <c r="P25" s="186">
        <f aca="true" t="shared" si="88" ref="P25:AA25">O25+P20-P23+P21</f>
        <v>599.25</v>
      </c>
      <c r="Q25" s="186">
        <f t="shared" si="88"/>
        <v>582.7299304900658</v>
      </c>
      <c r="R25" s="186">
        <f t="shared" si="88"/>
        <v>566.1134939079903</v>
      </c>
      <c r="S25" s="186">
        <f t="shared" si="88"/>
        <v>549.4001281125195</v>
      </c>
      <c r="T25" s="186">
        <f t="shared" si="88"/>
        <v>532.5892676832417</v>
      </c>
      <c r="U25" s="186">
        <f t="shared" si="88"/>
        <v>515.6803439014598</v>
      </c>
      <c r="V25" s="186">
        <f t="shared" si="88"/>
        <v>498.67278473095075</v>
      </c>
      <c r="W25" s="186">
        <f t="shared" si="88"/>
        <v>481.56601479861376</v>
      </c>
      <c r="X25" s="186">
        <f t="shared" si="88"/>
        <v>464.3594553750048</v>
      </c>
      <c r="Y25" s="186">
        <f t="shared" si="88"/>
        <v>447.05252435475813</v>
      </c>
      <c r="Z25" s="186">
        <f t="shared" si="88"/>
        <v>429.64463623689335</v>
      </c>
      <c r="AA25" s="186">
        <f t="shared" si="88"/>
        <v>412.1352021050077</v>
      </c>
      <c r="AB25" s="187">
        <f>AA25</f>
        <v>412.1352021050077</v>
      </c>
      <c r="AC25" s="186">
        <f aca="true" t="shared" si="89" ref="AC25:AN25">AB25+AC20-AC23+AC21</f>
        <v>394.52362960735275</v>
      </c>
      <c r="AD25" s="186">
        <f t="shared" si="89"/>
        <v>376.8093229367948</v>
      </c>
      <c r="AE25" s="186">
        <f t="shared" si="89"/>
        <v>358.9916828106586</v>
      </c>
      <c r="AF25" s="186">
        <f t="shared" si="89"/>
        <v>341.07010645045324</v>
      </c>
      <c r="AG25" s="186">
        <f t="shared" si="89"/>
        <v>323.04398756148004</v>
      </c>
      <c r="AH25" s="186">
        <f t="shared" si="89"/>
        <v>304.91271631232115</v>
      </c>
      <c r="AI25" s="186">
        <f t="shared" si="89"/>
        <v>286.6756793142088</v>
      </c>
      <c r="AJ25" s="186">
        <f t="shared" si="89"/>
        <v>268.3322596002742</v>
      </c>
      <c r="AK25" s="186">
        <f t="shared" si="89"/>
        <v>249.88183660467496</v>
      </c>
      <c r="AL25" s="186">
        <f t="shared" si="89"/>
        <v>231.32378614160137</v>
      </c>
      <c r="AM25" s="186">
        <f t="shared" si="89"/>
        <v>212.65748038415987</v>
      </c>
      <c r="AN25" s="186">
        <f t="shared" si="89"/>
        <v>193.88228784313327</v>
      </c>
      <c r="AO25" s="187">
        <f>AN25</f>
        <v>193.88228784313327</v>
      </c>
      <c r="AP25" s="186">
        <f aca="true" t="shared" si="90" ref="AP25:BA25">AO25+AP20-AP23+AP21</f>
        <v>174.99757334561735</v>
      </c>
      <c r="AQ25" s="186">
        <f t="shared" si="90"/>
        <v>156.0026980135326</v>
      </c>
      <c r="AR25" s="186">
        <f t="shared" si="90"/>
        <v>136.89701924201069</v>
      </c>
      <c r="AS25" s="186">
        <f t="shared" si="90"/>
        <v>117.6798906776549</v>
      </c>
      <c r="AT25" s="186">
        <f t="shared" si="90"/>
        <v>98.3506621966737</v>
      </c>
      <c r="AU25" s="186">
        <f t="shared" si="90"/>
        <v>78.90867988288677</v>
      </c>
      <c r="AV25" s="186">
        <f t="shared" si="90"/>
        <v>59.35328600560276</v>
      </c>
      <c r="AW25" s="186">
        <f t="shared" si="90"/>
        <v>39.68381899736792</v>
      </c>
      <c r="AX25" s="186">
        <f t="shared" si="90"/>
        <v>19.89961343158505</v>
      </c>
      <c r="AY25" s="186">
        <f t="shared" si="90"/>
        <v>1.7763568394002505E-12</v>
      </c>
      <c r="AZ25" s="186">
        <f t="shared" si="90"/>
        <v>1.7763568394002505E-12</v>
      </c>
      <c r="BA25" s="186">
        <f t="shared" si="90"/>
        <v>1.7763568394002505E-12</v>
      </c>
      <c r="BB25" s="187">
        <f>BA25</f>
        <v>1.7763568394002505E-12</v>
      </c>
      <c r="BC25" s="186">
        <f aca="true" t="shared" si="91" ref="BC25:BN25">BB25+BC20-BC23+BC21</f>
        <v>1.7763568394002505E-12</v>
      </c>
      <c r="BD25" s="186">
        <f t="shared" si="91"/>
        <v>1.7763568394002505E-12</v>
      </c>
      <c r="BE25" s="186">
        <f t="shared" si="91"/>
        <v>1.7763568394002505E-12</v>
      </c>
      <c r="BF25" s="186">
        <f t="shared" si="91"/>
        <v>1.7763568394002505E-12</v>
      </c>
      <c r="BG25" s="186">
        <f t="shared" si="91"/>
        <v>1.7763568394002505E-12</v>
      </c>
      <c r="BH25" s="186">
        <f t="shared" si="91"/>
        <v>1.7763568394002505E-12</v>
      </c>
      <c r="BI25" s="186">
        <f t="shared" si="91"/>
        <v>1.7763568394002505E-12</v>
      </c>
      <c r="BJ25" s="186">
        <f t="shared" si="91"/>
        <v>1.7763568394002505E-12</v>
      </c>
      <c r="BK25" s="186">
        <f t="shared" si="91"/>
        <v>1.7763568394002505E-12</v>
      </c>
      <c r="BL25" s="186">
        <f t="shared" si="91"/>
        <v>1.7763568394002505E-12</v>
      </c>
      <c r="BM25" s="186">
        <f t="shared" si="91"/>
        <v>1.7763568394002505E-12</v>
      </c>
      <c r="BN25" s="186">
        <f t="shared" si="91"/>
        <v>1.7763568394002505E-12</v>
      </c>
      <c r="BO25" s="187">
        <f>BN25</f>
        <v>1.7763568394002505E-12</v>
      </c>
      <c r="BP25" s="186">
        <f aca="true" t="shared" si="92" ref="BP25:CA25">BO25+BP20-BP23+BP21</f>
        <v>1.7763568394002505E-12</v>
      </c>
      <c r="BQ25" s="186">
        <f t="shared" si="92"/>
        <v>1.7763568394002505E-12</v>
      </c>
      <c r="BR25" s="186">
        <f t="shared" si="92"/>
        <v>1.7763568394002505E-12</v>
      </c>
      <c r="BS25" s="186">
        <f t="shared" si="92"/>
        <v>1.7763568394002505E-12</v>
      </c>
      <c r="BT25" s="186">
        <f t="shared" si="92"/>
        <v>1.7763568394002505E-12</v>
      </c>
      <c r="BU25" s="186">
        <f t="shared" si="92"/>
        <v>1.7763568394002505E-12</v>
      </c>
      <c r="BV25" s="186">
        <f t="shared" si="92"/>
        <v>1.7763568394002505E-12</v>
      </c>
      <c r="BW25" s="186">
        <f t="shared" si="92"/>
        <v>1.7763568394002505E-12</v>
      </c>
      <c r="BX25" s="186">
        <f t="shared" si="92"/>
        <v>1.7763568394002505E-12</v>
      </c>
      <c r="BY25" s="186">
        <f t="shared" si="92"/>
        <v>1.7763568394002505E-12</v>
      </c>
      <c r="BZ25" s="186">
        <f t="shared" si="92"/>
        <v>1.7763568394002505E-12</v>
      </c>
      <c r="CA25" s="186">
        <f t="shared" si="92"/>
        <v>1.7763568394002505E-12</v>
      </c>
      <c r="CB25" s="187">
        <f>CA25</f>
        <v>1.7763568394002505E-12</v>
      </c>
      <c r="CC25" s="186">
        <f aca="true" t="shared" si="93" ref="CC25:CN25">CB25+CC20-CC23+CC21</f>
        <v>1.7763568394002505E-12</v>
      </c>
      <c r="CD25" s="186">
        <f t="shared" si="93"/>
        <v>1.7763568394002505E-12</v>
      </c>
      <c r="CE25" s="186">
        <f t="shared" si="93"/>
        <v>1.7763568394002505E-12</v>
      </c>
      <c r="CF25" s="186">
        <f t="shared" si="93"/>
        <v>1.7763568394002505E-12</v>
      </c>
      <c r="CG25" s="186">
        <f t="shared" si="93"/>
        <v>1.7763568394002505E-12</v>
      </c>
      <c r="CH25" s="186">
        <f t="shared" si="93"/>
        <v>1.7763568394002505E-12</v>
      </c>
      <c r="CI25" s="186">
        <f t="shared" si="93"/>
        <v>1.7763568394002505E-12</v>
      </c>
      <c r="CJ25" s="186">
        <f t="shared" si="93"/>
        <v>1.7763568394002505E-12</v>
      </c>
      <c r="CK25" s="186">
        <f t="shared" si="93"/>
        <v>1.7763568394002505E-12</v>
      </c>
      <c r="CL25" s="186">
        <f t="shared" si="93"/>
        <v>1.7763568394002505E-12</v>
      </c>
      <c r="CM25" s="186">
        <f t="shared" si="93"/>
        <v>1.7763568394002505E-12</v>
      </c>
      <c r="CN25" s="186">
        <f t="shared" si="93"/>
        <v>1.7763568394002505E-12</v>
      </c>
      <c r="CO25" s="187">
        <f>CN25</f>
        <v>1.7763568394002505E-12</v>
      </c>
      <c r="CP25" s="186">
        <f aca="true" t="shared" si="94" ref="CP25:DA25">CO25+CP20-CP23+CP21</f>
        <v>1.7763568394002505E-12</v>
      </c>
      <c r="CQ25" s="186">
        <f t="shared" si="94"/>
        <v>1.7763568394002505E-12</v>
      </c>
      <c r="CR25" s="186">
        <f t="shared" si="94"/>
        <v>1.7763568394002505E-12</v>
      </c>
      <c r="CS25" s="186">
        <f t="shared" si="94"/>
        <v>1.7763568394002505E-12</v>
      </c>
      <c r="CT25" s="186">
        <f t="shared" si="94"/>
        <v>1.7763568394002505E-12</v>
      </c>
      <c r="CU25" s="186">
        <f t="shared" si="94"/>
        <v>1.7763568394002505E-12</v>
      </c>
      <c r="CV25" s="186">
        <f t="shared" si="94"/>
        <v>1.7763568394002505E-12</v>
      </c>
      <c r="CW25" s="186">
        <f t="shared" si="94"/>
        <v>1.7763568394002505E-12</v>
      </c>
      <c r="CX25" s="186">
        <f t="shared" si="94"/>
        <v>1.7763568394002505E-12</v>
      </c>
      <c r="CY25" s="186">
        <f t="shared" si="94"/>
        <v>1.7763568394002505E-12</v>
      </c>
      <c r="CZ25" s="186">
        <f t="shared" si="94"/>
        <v>1.7763568394002505E-12</v>
      </c>
      <c r="DA25" s="186">
        <f t="shared" si="94"/>
        <v>1.7763568394002505E-12</v>
      </c>
      <c r="DB25" s="187">
        <f>DA25</f>
        <v>1.7763568394002505E-12</v>
      </c>
      <c r="DC25" s="186">
        <f aca="true" t="shared" si="95" ref="DC25:DN25">DB25+DC20-DC23+DC21</f>
        <v>1.7763568394002505E-12</v>
      </c>
      <c r="DD25" s="186">
        <f t="shared" si="95"/>
        <v>1.7763568394002505E-12</v>
      </c>
      <c r="DE25" s="186">
        <f t="shared" si="95"/>
        <v>1.7763568394002505E-12</v>
      </c>
      <c r="DF25" s="186">
        <f t="shared" si="95"/>
        <v>1.7763568394002505E-12</v>
      </c>
      <c r="DG25" s="186">
        <f t="shared" si="95"/>
        <v>1.7763568394002505E-12</v>
      </c>
      <c r="DH25" s="186">
        <f t="shared" si="95"/>
        <v>1.7763568394002505E-12</v>
      </c>
      <c r="DI25" s="186">
        <f t="shared" si="95"/>
        <v>1.7763568394002505E-12</v>
      </c>
      <c r="DJ25" s="186">
        <f t="shared" si="95"/>
        <v>1.7763568394002505E-12</v>
      </c>
      <c r="DK25" s="186">
        <f t="shared" si="95"/>
        <v>1.7763568394002505E-12</v>
      </c>
      <c r="DL25" s="186">
        <f t="shared" si="95"/>
        <v>1.7763568394002505E-12</v>
      </c>
      <c r="DM25" s="186">
        <f t="shared" si="95"/>
        <v>1.7763568394002505E-12</v>
      </c>
      <c r="DN25" s="186">
        <f t="shared" si="95"/>
        <v>1.7763568394002505E-12</v>
      </c>
      <c r="DO25" s="187">
        <f>DN25</f>
        <v>1.7763568394002505E-12</v>
      </c>
    </row>
    <row r="26" spans="1:119" ht="12.75">
      <c r="A26" s="172" t="s">
        <v>70</v>
      </c>
      <c r="B26" s="283">
        <f>B13</f>
        <v>33</v>
      </c>
      <c r="CP26" s="175"/>
      <c r="DB26" s="172"/>
      <c r="DO26" s="172"/>
    </row>
    <row r="27" spans="1:119" ht="12.75">
      <c r="A27" s="284" t="s">
        <v>210</v>
      </c>
      <c r="B27" s="285">
        <f>$P$25*$B18/12/((1-(1+$B18/12)^-$B26))</f>
        <v>20.015694509934185</v>
      </c>
      <c r="DB27" s="172"/>
      <c r="DO27" s="172"/>
    </row>
    <row r="29" ht="12.75">
      <c r="A29" s="193">
        <f>B22-B21-B24</f>
        <v>0</v>
      </c>
    </row>
    <row r="30" ht="12.75">
      <c r="A30" s="193">
        <f>B20+B21-B23-B25</f>
        <v>-7.105427357601002E-14</v>
      </c>
    </row>
    <row r="32" spans="1:119" ht="12.75">
      <c r="A32" s="282" t="s">
        <v>211</v>
      </c>
      <c r="B32" s="280"/>
      <c r="DB32" s="172"/>
      <c r="DO32" s="172"/>
    </row>
    <row r="33" spans="1:119" ht="15.75" customHeight="1">
      <c r="A33" s="179" t="s">
        <v>9</v>
      </c>
      <c r="B33" s="281">
        <f>Исх!$C$42</f>
        <v>0.07</v>
      </c>
      <c r="C33" s="343">
        <v>2013</v>
      </c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>
        <v>2014</v>
      </c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>
        <v>2015</v>
      </c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>
        <v>2016</v>
      </c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>
        <v>2017</v>
      </c>
      <c r="BD33" s="343"/>
      <c r="BE33" s="343"/>
      <c r="BF33" s="343"/>
      <c r="BG33" s="343"/>
      <c r="BH33" s="343"/>
      <c r="BI33" s="343"/>
      <c r="BJ33" s="343"/>
      <c r="BK33" s="343"/>
      <c r="BL33" s="343"/>
      <c r="BM33" s="343"/>
      <c r="BN33" s="343"/>
      <c r="BO33" s="343"/>
      <c r="BP33" s="343">
        <v>2018</v>
      </c>
      <c r="BQ33" s="343"/>
      <c r="BR33" s="343"/>
      <c r="BS33" s="343"/>
      <c r="BT33" s="343"/>
      <c r="BU33" s="343"/>
      <c r="BV33" s="343"/>
      <c r="BW33" s="343"/>
      <c r="BX33" s="343"/>
      <c r="BY33" s="343"/>
      <c r="BZ33" s="343"/>
      <c r="CA33" s="343"/>
      <c r="CB33" s="343"/>
      <c r="CC33" s="343">
        <v>2019</v>
      </c>
      <c r="CD33" s="343"/>
      <c r="CE33" s="343"/>
      <c r="CF33" s="343"/>
      <c r="CG33" s="343"/>
      <c r="CH33" s="343"/>
      <c r="CI33" s="343"/>
      <c r="CJ33" s="343"/>
      <c r="CK33" s="343"/>
      <c r="CL33" s="343"/>
      <c r="CM33" s="343"/>
      <c r="CN33" s="343"/>
      <c r="CO33" s="343"/>
      <c r="CP33" s="343">
        <v>2020</v>
      </c>
      <c r="CQ33" s="343"/>
      <c r="CR33" s="343"/>
      <c r="CS33" s="343"/>
      <c r="CT33" s="343"/>
      <c r="CU33" s="343"/>
      <c r="CV33" s="343"/>
      <c r="CW33" s="343"/>
      <c r="CX33" s="343"/>
      <c r="CY33" s="343"/>
      <c r="CZ33" s="343"/>
      <c r="DA33" s="343"/>
      <c r="DB33" s="343"/>
      <c r="DC33" s="343">
        <v>2021</v>
      </c>
      <c r="DD33" s="343"/>
      <c r="DE33" s="343"/>
      <c r="DF33" s="343"/>
      <c r="DG33" s="343"/>
      <c r="DH33" s="343"/>
      <c r="DI33" s="343"/>
      <c r="DJ33" s="343"/>
      <c r="DK33" s="343"/>
      <c r="DL33" s="343"/>
      <c r="DM33" s="343"/>
      <c r="DN33" s="343"/>
      <c r="DO33" s="343"/>
    </row>
    <row r="34" spans="1:119" s="184" customFormat="1" ht="15" customHeight="1">
      <c r="A34" s="180" t="s">
        <v>7</v>
      </c>
      <c r="B34" s="181" t="s">
        <v>80</v>
      </c>
      <c r="C34" s="182">
        <v>1</v>
      </c>
      <c r="D34" s="182">
        <v>2</v>
      </c>
      <c r="E34" s="182">
        <f aca="true" t="shared" si="96" ref="E34:N34">D34+1</f>
        <v>3</v>
      </c>
      <c r="F34" s="182">
        <f t="shared" si="96"/>
        <v>4</v>
      </c>
      <c r="G34" s="182">
        <f t="shared" si="96"/>
        <v>5</v>
      </c>
      <c r="H34" s="182">
        <f t="shared" si="96"/>
        <v>6</v>
      </c>
      <c r="I34" s="182">
        <f t="shared" si="96"/>
        <v>7</v>
      </c>
      <c r="J34" s="182">
        <f t="shared" si="96"/>
        <v>8</v>
      </c>
      <c r="K34" s="182">
        <f t="shared" si="96"/>
        <v>9</v>
      </c>
      <c r="L34" s="182">
        <f t="shared" si="96"/>
        <v>10</v>
      </c>
      <c r="M34" s="182">
        <f t="shared" si="96"/>
        <v>11</v>
      </c>
      <c r="N34" s="182">
        <f t="shared" si="96"/>
        <v>12</v>
      </c>
      <c r="O34" s="183">
        <f>O18</f>
        <v>0</v>
      </c>
      <c r="P34" s="182">
        <v>1</v>
      </c>
      <c r="Q34" s="182">
        <v>2</v>
      </c>
      <c r="R34" s="182">
        <f aca="true" t="shared" si="97" ref="R34:AA34">Q34+1</f>
        <v>3</v>
      </c>
      <c r="S34" s="182">
        <f t="shared" si="97"/>
        <v>4</v>
      </c>
      <c r="T34" s="182">
        <f t="shared" si="97"/>
        <v>5</v>
      </c>
      <c r="U34" s="182">
        <f t="shared" si="97"/>
        <v>6</v>
      </c>
      <c r="V34" s="182">
        <f t="shared" si="97"/>
        <v>7</v>
      </c>
      <c r="W34" s="182">
        <f t="shared" si="97"/>
        <v>8</v>
      </c>
      <c r="X34" s="182">
        <f t="shared" si="97"/>
        <v>9</v>
      </c>
      <c r="Y34" s="182">
        <f t="shared" si="97"/>
        <v>10</v>
      </c>
      <c r="Z34" s="182">
        <f t="shared" si="97"/>
        <v>11</v>
      </c>
      <c r="AA34" s="182">
        <f t="shared" si="97"/>
        <v>12</v>
      </c>
      <c r="AB34" s="183">
        <f>AB18</f>
        <v>0</v>
      </c>
      <c r="AC34" s="182">
        <v>1</v>
      </c>
      <c r="AD34" s="182">
        <v>2</v>
      </c>
      <c r="AE34" s="182">
        <f aca="true" t="shared" si="98" ref="AE34:AN34">AD34+1</f>
        <v>3</v>
      </c>
      <c r="AF34" s="182">
        <f t="shared" si="98"/>
        <v>4</v>
      </c>
      <c r="AG34" s="182">
        <f t="shared" si="98"/>
        <v>5</v>
      </c>
      <c r="AH34" s="182">
        <f t="shared" si="98"/>
        <v>6</v>
      </c>
      <c r="AI34" s="182">
        <f t="shared" si="98"/>
        <v>7</v>
      </c>
      <c r="AJ34" s="182">
        <f t="shared" si="98"/>
        <v>8</v>
      </c>
      <c r="AK34" s="182">
        <f t="shared" si="98"/>
        <v>9</v>
      </c>
      <c r="AL34" s="182">
        <f t="shared" si="98"/>
        <v>10</v>
      </c>
      <c r="AM34" s="182">
        <f t="shared" si="98"/>
        <v>11</v>
      </c>
      <c r="AN34" s="182">
        <f t="shared" si="98"/>
        <v>12</v>
      </c>
      <c r="AO34" s="183">
        <f>AO18</f>
        <v>0</v>
      </c>
      <c r="AP34" s="182">
        <v>1</v>
      </c>
      <c r="AQ34" s="182">
        <v>2</v>
      </c>
      <c r="AR34" s="182">
        <f aca="true" t="shared" si="99" ref="AR34:BA34">AQ34+1</f>
        <v>3</v>
      </c>
      <c r="AS34" s="182">
        <f t="shared" si="99"/>
        <v>4</v>
      </c>
      <c r="AT34" s="182">
        <f t="shared" si="99"/>
        <v>5</v>
      </c>
      <c r="AU34" s="182">
        <f t="shared" si="99"/>
        <v>6</v>
      </c>
      <c r="AV34" s="182">
        <f t="shared" si="99"/>
        <v>7</v>
      </c>
      <c r="AW34" s="182">
        <f t="shared" si="99"/>
        <v>8</v>
      </c>
      <c r="AX34" s="182">
        <f t="shared" si="99"/>
        <v>9</v>
      </c>
      <c r="AY34" s="182">
        <f t="shared" si="99"/>
        <v>10</v>
      </c>
      <c r="AZ34" s="182">
        <f t="shared" si="99"/>
        <v>11</v>
      </c>
      <c r="BA34" s="182">
        <f t="shared" si="99"/>
        <v>12</v>
      </c>
      <c r="BB34" s="183">
        <f>BB18</f>
        <v>0</v>
      </c>
      <c r="BC34" s="182">
        <v>1</v>
      </c>
      <c r="BD34" s="182">
        <v>2</v>
      </c>
      <c r="BE34" s="182">
        <f aca="true" t="shared" si="100" ref="BE34:BN34">BD34+1</f>
        <v>3</v>
      </c>
      <c r="BF34" s="182">
        <f t="shared" si="100"/>
        <v>4</v>
      </c>
      <c r="BG34" s="182">
        <f t="shared" si="100"/>
        <v>5</v>
      </c>
      <c r="BH34" s="182">
        <f t="shared" si="100"/>
        <v>6</v>
      </c>
      <c r="BI34" s="182">
        <f t="shared" si="100"/>
        <v>7</v>
      </c>
      <c r="BJ34" s="182">
        <f t="shared" si="100"/>
        <v>8</v>
      </c>
      <c r="BK34" s="182">
        <f t="shared" si="100"/>
        <v>9</v>
      </c>
      <c r="BL34" s="182">
        <f t="shared" si="100"/>
        <v>10</v>
      </c>
      <c r="BM34" s="182">
        <f t="shared" si="100"/>
        <v>11</v>
      </c>
      <c r="BN34" s="182">
        <f t="shared" si="100"/>
        <v>12</v>
      </c>
      <c r="BO34" s="183">
        <f>BO18</f>
        <v>0</v>
      </c>
      <c r="BP34" s="182">
        <v>1</v>
      </c>
      <c r="BQ34" s="182">
        <v>2</v>
      </c>
      <c r="BR34" s="182">
        <f aca="true" t="shared" si="101" ref="BR34:CA34">BQ34+1</f>
        <v>3</v>
      </c>
      <c r="BS34" s="182">
        <f t="shared" si="101"/>
        <v>4</v>
      </c>
      <c r="BT34" s="182">
        <f t="shared" si="101"/>
        <v>5</v>
      </c>
      <c r="BU34" s="182">
        <f t="shared" si="101"/>
        <v>6</v>
      </c>
      <c r="BV34" s="182">
        <f t="shared" si="101"/>
        <v>7</v>
      </c>
      <c r="BW34" s="182">
        <f t="shared" si="101"/>
        <v>8</v>
      </c>
      <c r="BX34" s="182">
        <f t="shared" si="101"/>
        <v>9</v>
      </c>
      <c r="BY34" s="182">
        <f t="shared" si="101"/>
        <v>10</v>
      </c>
      <c r="BZ34" s="182">
        <f t="shared" si="101"/>
        <v>11</v>
      </c>
      <c r="CA34" s="182">
        <f t="shared" si="101"/>
        <v>12</v>
      </c>
      <c r="CB34" s="183">
        <f>CB18</f>
        <v>0</v>
      </c>
      <c r="CC34" s="182">
        <v>1</v>
      </c>
      <c r="CD34" s="182">
        <v>2</v>
      </c>
      <c r="CE34" s="182">
        <f aca="true" t="shared" si="102" ref="CE34:CN34">CD34+1</f>
        <v>3</v>
      </c>
      <c r="CF34" s="182">
        <f t="shared" si="102"/>
        <v>4</v>
      </c>
      <c r="CG34" s="182">
        <f t="shared" si="102"/>
        <v>5</v>
      </c>
      <c r="CH34" s="182">
        <f t="shared" si="102"/>
        <v>6</v>
      </c>
      <c r="CI34" s="182">
        <f t="shared" si="102"/>
        <v>7</v>
      </c>
      <c r="CJ34" s="182">
        <f t="shared" si="102"/>
        <v>8</v>
      </c>
      <c r="CK34" s="182">
        <f t="shared" si="102"/>
        <v>9</v>
      </c>
      <c r="CL34" s="182">
        <f t="shared" si="102"/>
        <v>10</v>
      </c>
      <c r="CM34" s="182">
        <f t="shared" si="102"/>
        <v>11</v>
      </c>
      <c r="CN34" s="182">
        <f t="shared" si="102"/>
        <v>12</v>
      </c>
      <c r="CO34" s="183">
        <f>CO18</f>
        <v>0</v>
      </c>
      <c r="CP34" s="182">
        <v>1</v>
      </c>
      <c r="CQ34" s="182">
        <f aca="true" t="shared" si="103" ref="CQ34:DA34">CP34+1</f>
        <v>2</v>
      </c>
      <c r="CR34" s="182">
        <f t="shared" si="103"/>
        <v>3</v>
      </c>
      <c r="CS34" s="182">
        <f t="shared" si="103"/>
        <v>4</v>
      </c>
      <c r="CT34" s="182">
        <f t="shared" si="103"/>
        <v>5</v>
      </c>
      <c r="CU34" s="182">
        <f t="shared" si="103"/>
        <v>6</v>
      </c>
      <c r="CV34" s="182">
        <f t="shared" si="103"/>
        <v>7</v>
      </c>
      <c r="CW34" s="182">
        <f t="shared" si="103"/>
        <v>8</v>
      </c>
      <c r="CX34" s="182">
        <f t="shared" si="103"/>
        <v>9</v>
      </c>
      <c r="CY34" s="182">
        <f t="shared" si="103"/>
        <v>10</v>
      </c>
      <c r="CZ34" s="182">
        <f t="shared" si="103"/>
        <v>11</v>
      </c>
      <c r="DA34" s="182">
        <f t="shared" si="103"/>
        <v>12</v>
      </c>
      <c r="DB34" s="183">
        <f>DB18</f>
        <v>0</v>
      </c>
      <c r="DC34" s="182">
        <v>1</v>
      </c>
      <c r="DD34" s="182">
        <f aca="true" t="shared" si="104" ref="DD34:DN34">DC34+1</f>
        <v>2</v>
      </c>
      <c r="DE34" s="182">
        <f t="shared" si="104"/>
        <v>3</v>
      </c>
      <c r="DF34" s="182">
        <f t="shared" si="104"/>
        <v>4</v>
      </c>
      <c r="DG34" s="182">
        <f t="shared" si="104"/>
        <v>5</v>
      </c>
      <c r="DH34" s="182">
        <f t="shared" si="104"/>
        <v>6</v>
      </c>
      <c r="DI34" s="182">
        <f t="shared" si="104"/>
        <v>7</v>
      </c>
      <c r="DJ34" s="182">
        <f t="shared" si="104"/>
        <v>8</v>
      </c>
      <c r="DK34" s="182">
        <f t="shared" si="104"/>
        <v>9</v>
      </c>
      <c r="DL34" s="182">
        <f t="shared" si="104"/>
        <v>10</v>
      </c>
      <c r="DM34" s="182">
        <f t="shared" si="104"/>
        <v>11</v>
      </c>
      <c r="DN34" s="182">
        <f t="shared" si="104"/>
        <v>12</v>
      </c>
      <c r="DO34" s="183" t="s">
        <v>0</v>
      </c>
    </row>
    <row r="35" spans="1:119" ht="12.75">
      <c r="A35" s="180" t="s">
        <v>98</v>
      </c>
      <c r="B35" s="185">
        <f>O35+AB35+AO35+BB35+BO35+CB35+CO35+DB35+DO35</f>
        <v>0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7">
        <f>SUM(C35:N35)</f>
        <v>0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>
        <f>SUM(P35:AA35)</f>
        <v>0</v>
      </c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>
        <f>SUM(AC35:AN35)</f>
        <v>0</v>
      </c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</row>
    <row r="36" spans="1:119" s="189" customFormat="1" ht="20.25" customHeight="1">
      <c r="A36" s="180" t="s">
        <v>27</v>
      </c>
      <c r="B36" s="185">
        <f>O36+AB36+AO36+BB36+BO36+CB36+CO36+DB36+DO36</f>
        <v>0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7">
        <f>SUM(C36:N36)</f>
        <v>0</v>
      </c>
      <c r="P36" s="186"/>
      <c r="Q36" s="186"/>
      <c r="R36" s="186">
        <f>SUM(O37:R37)</f>
        <v>0</v>
      </c>
      <c r="S36" s="186"/>
      <c r="T36" s="186"/>
      <c r="U36" s="186"/>
      <c r="V36" s="186"/>
      <c r="W36" s="186"/>
      <c r="X36" s="186"/>
      <c r="Y36" s="186"/>
      <c r="Z36" s="186"/>
      <c r="AA36" s="186"/>
      <c r="AB36" s="187">
        <f>SUM(P36:AA36)</f>
        <v>0</v>
      </c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7">
        <f>SUM(AC36:AN36)</f>
        <v>0</v>
      </c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7">
        <f>SUM(AP36:BA36)</f>
        <v>0</v>
      </c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7">
        <f>SUM(BC36:BN36)</f>
        <v>0</v>
      </c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7">
        <f>SUM(BP36:CA36)</f>
        <v>0</v>
      </c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7">
        <f>SUM(CC36:CN36)</f>
        <v>0</v>
      </c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7">
        <f>SUM(CP36:DA36)</f>
        <v>0</v>
      </c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7">
        <f>SUM(DC36:DN36)</f>
        <v>0</v>
      </c>
    </row>
    <row r="37" spans="1:119" s="189" customFormat="1" ht="12.75">
      <c r="A37" s="190" t="s">
        <v>10</v>
      </c>
      <c r="B37" s="185">
        <f>O37+AB37+AO37+BB37+BO37+CB37+CO37+DB37+DO37</f>
        <v>0</v>
      </c>
      <c r="C37" s="186"/>
      <c r="D37" s="186">
        <f aca="true" t="shared" si="105" ref="D37:N37">C40*$B33/12</f>
        <v>0</v>
      </c>
      <c r="E37" s="186">
        <f t="shared" si="105"/>
        <v>0</v>
      </c>
      <c r="F37" s="186">
        <f t="shared" si="105"/>
        <v>0</v>
      </c>
      <c r="G37" s="186">
        <f t="shared" si="105"/>
        <v>0</v>
      </c>
      <c r="H37" s="186">
        <f t="shared" si="105"/>
        <v>0</v>
      </c>
      <c r="I37" s="186">
        <f t="shared" si="105"/>
        <v>0</v>
      </c>
      <c r="J37" s="186">
        <f t="shared" si="105"/>
        <v>0</v>
      </c>
      <c r="K37" s="186">
        <f t="shared" si="105"/>
        <v>0</v>
      </c>
      <c r="L37" s="186">
        <f t="shared" si="105"/>
        <v>0</v>
      </c>
      <c r="M37" s="186">
        <f t="shared" si="105"/>
        <v>0</v>
      </c>
      <c r="N37" s="186">
        <f t="shared" si="105"/>
        <v>0</v>
      </c>
      <c r="O37" s="187">
        <f>SUM(C37:N37)</f>
        <v>0</v>
      </c>
      <c r="P37" s="186">
        <f aca="true" t="shared" si="106" ref="P37:AA37">O40*$B33/12</f>
        <v>0</v>
      </c>
      <c r="Q37" s="186">
        <f t="shared" si="106"/>
        <v>0</v>
      </c>
      <c r="R37" s="186">
        <f t="shared" si="106"/>
        <v>0</v>
      </c>
      <c r="S37" s="186">
        <f t="shared" si="106"/>
        <v>0</v>
      </c>
      <c r="T37" s="186">
        <f t="shared" si="106"/>
        <v>0</v>
      </c>
      <c r="U37" s="186">
        <f t="shared" si="106"/>
        <v>0</v>
      </c>
      <c r="V37" s="186">
        <f t="shared" si="106"/>
        <v>0</v>
      </c>
      <c r="W37" s="186">
        <f t="shared" si="106"/>
        <v>0</v>
      </c>
      <c r="X37" s="186">
        <f t="shared" si="106"/>
        <v>0</v>
      </c>
      <c r="Y37" s="186">
        <f t="shared" si="106"/>
        <v>0</v>
      </c>
      <c r="Z37" s="186">
        <f t="shared" si="106"/>
        <v>0</v>
      </c>
      <c r="AA37" s="186">
        <f t="shared" si="106"/>
        <v>0</v>
      </c>
      <c r="AB37" s="187">
        <f>SUM(P37:AA37)</f>
        <v>0</v>
      </c>
      <c r="AC37" s="186">
        <f aca="true" t="shared" si="107" ref="AC37:AN37">AB40*$B33/12</f>
        <v>0</v>
      </c>
      <c r="AD37" s="186">
        <f t="shared" si="107"/>
        <v>0</v>
      </c>
      <c r="AE37" s="186">
        <f t="shared" si="107"/>
        <v>0</v>
      </c>
      <c r="AF37" s="186">
        <f t="shared" si="107"/>
        <v>0</v>
      </c>
      <c r="AG37" s="186">
        <f t="shared" si="107"/>
        <v>0</v>
      </c>
      <c r="AH37" s="186">
        <f t="shared" si="107"/>
        <v>0</v>
      </c>
      <c r="AI37" s="186">
        <f t="shared" si="107"/>
        <v>0</v>
      </c>
      <c r="AJ37" s="186">
        <f t="shared" si="107"/>
        <v>0</v>
      </c>
      <c r="AK37" s="186">
        <f t="shared" si="107"/>
        <v>0</v>
      </c>
      <c r="AL37" s="186">
        <f t="shared" si="107"/>
        <v>0</v>
      </c>
      <c r="AM37" s="186">
        <f t="shared" si="107"/>
        <v>0</v>
      </c>
      <c r="AN37" s="186">
        <f t="shared" si="107"/>
        <v>0</v>
      </c>
      <c r="AO37" s="187">
        <f>SUM(AC37:AN37)</f>
        <v>0</v>
      </c>
      <c r="AP37" s="186">
        <f aca="true" t="shared" si="108" ref="AP37:BA37">AO40*$B33/12</f>
        <v>0</v>
      </c>
      <c r="AQ37" s="186">
        <f t="shared" si="108"/>
        <v>0</v>
      </c>
      <c r="AR37" s="186">
        <f t="shared" si="108"/>
        <v>0</v>
      </c>
      <c r="AS37" s="186">
        <f t="shared" si="108"/>
        <v>0</v>
      </c>
      <c r="AT37" s="186">
        <f t="shared" si="108"/>
        <v>0</v>
      </c>
      <c r="AU37" s="186">
        <f t="shared" si="108"/>
        <v>0</v>
      </c>
      <c r="AV37" s="186">
        <f t="shared" si="108"/>
        <v>0</v>
      </c>
      <c r="AW37" s="186">
        <f t="shared" si="108"/>
        <v>0</v>
      </c>
      <c r="AX37" s="186">
        <f t="shared" si="108"/>
        <v>0</v>
      </c>
      <c r="AY37" s="186">
        <f t="shared" si="108"/>
        <v>0</v>
      </c>
      <c r="AZ37" s="186">
        <f t="shared" si="108"/>
        <v>0</v>
      </c>
      <c r="BA37" s="186">
        <f t="shared" si="108"/>
        <v>0</v>
      </c>
      <c r="BB37" s="187">
        <f>SUM(AP37:BA37)</f>
        <v>0</v>
      </c>
      <c r="BC37" s="186">
        <f aca="true" t="shared" si="109" ref="BC37:BN37">BB40*$B33/12</f>
        <v>0</v>
      </c>
      <c r="BD37" s="186">
        <f t="shared" si="109"/>
        <v>0</v>
      </c>
      <c r="BE37" s="186">
        <f t="shared" si="109"/>
        <v>0</v>
      </c>
      <c r="BF37" s="186">
        <f t="shared" si="109"/>
        <v>0</v>
      </c>
      <c r="BG37" s="186">
        <f t="shared" si="109"/>
        <v>0</v>
      </c>
      <c r="BH37" s="186">
        <f t="shared" si="109"/>
        <v>0</v>
      </c>
      <c r="BI37" s="186">
        <f t="shared" si="109"/>
        <v>0</v>
      </c>
      <c r="BJ37" s="186">
        <f t="shared" si="109"/>
        <v>0</v>
      </c>
      <c r="BK37" s="186">
        <f t="shared" si="109"/>
        <v>0</v>
      </c>
      <c r="BL37" s="186">
        <f t="shared" si="109"/>
        <v>0</v>
      </c>
      <c r="BM37" s="186">
        <f t="shared" si="109"/>
        <v>0</v>
      </c>
      <c r="BN37" s="186">
        <f t="shared" si="109"/>
        <v>0</v>
      </c>
      <c r="BO37" s="187">
        <f>SUM(BC37:BN37)</f>
        <v>0</v>
      </c>
      <c r="BP37" s="186">
        <f aca="true" t="shared" si="110" ref="BP37:CA37">BO40*$B33/12</f>
        <v>0</v>
      </c>
      <c r="BQ37" s="186">
        <f t="shared" si="110"/>
        <v>0</v>
      </c>
      <c r="BR37" s="186">
        <f t="shared" si="110"/>
        <v>0</v>
      </c>
      <c r="BS37" s="186">
        <f t="shared" si="110"/>
        <v>0</v>
      </c>
      <c r="BT37" s="186">
        <f t="shared" si="110"/>
        <v>0</v>
      </c>
      <c r="BU37" s="186">
        <f t="shared" si="110"/>
        <v>0</v>
      </c>
      <c r="BV37" s="186">
        <f t="shared" si="110"/>
        <v>0</v>
      </c>
      <c r="BW37" s="186">
        <f t="shared" si="110"/>
        <v>0</v>
      </c>
      <c r="BX37" s="186">
        <f t="shared" si="110"/>
        <v>0</v>
      </c>
      <c r="BY37" s="186">
        <f t="shared" si="110"/>
        <v>0</v>
      </c>
      <c r="BZ37" s="186">
        <f t="shared" si="110"/>
        <v>0</v>
      </c>
      <c r="CA37" s="186">
        <f t="shared" si="110"/>
        <v>0</v>
      </c>
      <c r="CB37" s="187">
        <f>SUM(BP37:CA37)</f>
        <v>0</v>
      </c>
      <c r="CC37" s="186">
        <f aca="true" t="shared" si="111" ref="CC37:CN37">CB40*$B33/12</f>
        <v>0</v>
      </c>
      <c r="CD37" s="186">
        <f t="shared" si="111"/>
        <v>0</v>
      </c>
      <c r="CE37" s="186">
        <f t="shared" si="111"/>
        <v>0</v>
      </c>
      <c r="CF37" s="186">
        <f t="shared" si="111"/>
        <v>0</v>
      </c>
      <c r="CG37" s="186">
        <f t="shared" si="111"/>
        <v>0</v>
      </c>
      <c r="CH37" s="186">
        <f t="shared" si="111"/>
        <v>0</v>
      </c>
      <c r="CI37" s="186">
        <f t="shared" si="111"/>
        <v>0</v>
      </c>
      <c r="CJ37" s="186">
        <f t="shared" si="111"/>
        <v>0</v>
      </c>
      <c r="CK37" s="186">
        <f t="shared" si="111"/>
        <v>0</v>
      </c>
      <c r="CL37" s="186">
        <f t="shared" si="111"/>
        <v>0</v>
      </c>
      <c r="CM37" s="186">
        <f t="shared" si="111"/>
        <v>0</v>
      </c>
      <c r="CN37" s="186">
        <f t="shared" si="111"/>
        <v>0</v>
      </c>
      <c r="CO37" s="187">
        <f>SUM(CC37:CN37)</f>
        <v>0</v>
      </c>
      <c r="CP37" s="186">
        <f aca="true" t="shared" si="112" ref="CP37:DA37">CO40*$B33/12</f>
        <v>0</v>
      </c>
      <c r="CQ37" s="186">
        <f t="shared" si="112"/>
        <v>0</v>
      </c>
      <c r="CR37" s="186">
        <f t="shared" si="112"/>
        <v>0</v>
      </c>
      <c r="CS37" s="186">
        <f t="shared" si="112"/>
        <v>0</v>
      </c>
      <c r="CT37" s="186">
        <f t="shared" si="112"/>
        <v>0</v>
      </c>
      <c r="CU37" s="186">
        <f t="shared" si="112"/>
        <v>0</v>
      </c>
      <c r="CV37" s="186">
        <f t="shared" si="112"/>
        <v>0</v>
      </c>
      <c r="CW37" s="186">
        <f t="shared" si="112"/>
        <v>0</v>
      </c>
      <c r="CX37" s="186">
        <f t="shared" si="112"/>
        <v>0</v>
      </c>
      <c r="CY37" s="186">
        <f t="shared" si="112"/>
        <v>0</v>
      </c>
      <c r="CZ37" s="186">
        <f t="shared" si="112"/>
        <v>0</v>
      </c>
      <c r="DA37" s="186">
        <f t="shared" si="112"/>
        <v>0</v>
      </c>
      <c r="DB37" s="187">
        <f>SUM(CP37:DA37)</f>
        <v>0</v>
      </c>
      <c r="DC37" s="186">
        <f aca="true" t="shared" si="113" ref="DC37:DN37">DB40*$B33/12</f>
        <v>0</v>
      </c>
      <c r="DD37" s="186">
        <f t="shared" si="113"/>
        <v>0</v>
      </c>
      <c r="DE37" s="186">
        <f t="shared" si="113"/>
        <v>0</v>
      </c>
      <c r="DF37" s="186">
        <f t="shared" si="113"/>
        <v>0</v>
      </c>
      <c r="DG37" s="186">
        <f t="shared" si="113"/>
        <v>0</v>
      </c>
      <c r="DH37" s="186">
        <f t="shared" si="113"/>
        <v>0</v>
      </c>
      <c r="DI37" s="186">
        <f t="shared" si="113"/>
        <v>0</v>
      </c>
      <c r="DJ37" s="186">
        <f t="shared" si="113"/>
        <v>0</v>
      </c>
      <c r="DK37" s="186">
        <f t="shared" si="113"/>
        <v>0</v>
      </c>
      <c r="DL37" s="186">
        <f t="shared" si="113"/>
        <v>0</v>
      </c>
      <c r="DM37" s="186">
        <f t="shared" si="113"/>
        <v>0</v>
      </c>
      <c r="DN37" s="186">
        <f t="shared" si="113"/>
        <v>0</v>
      </c>
      <c r="DO37" s="187">
        <f>SUM(DC37:DN37)</f>
        <v>0</v>
      </c>
    </row>
    <row r="38" spans="1:119" ht="12.75">
      <c r="A38" s="180" t="s">
        <v>11</v>
      </c>
      <c r="B38" s="185">
        <f>O38+AB38+AO38+BB38+BO38+CB38+CO38+DB38+DO38</f>
        <v>0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91"/>
      <c r="M38" s="191"/>
      <c r="N38" s="191"/>
      <c r="O38" s="187">
        <f>SUM(C38:N38)</f>
        <v>0</v>
      </c>
      <c r="P38" s="191"/>
      <c r="Q38" s="191"/>
      <c r="R38" s="191"/>
      <c r="S38" s="191"/>
      <c r="T38" s="191"/>
      <c r="U38" s="191"/>
      <c r="V38" s="191"/>
      <c r="W38" s="191"/>
      <c r="X38" s="191"/>
      <c r="Y38" s="186">
        <f>$B42-Y37</f>
        <v>0</v>
      </c>
      <c r="Z38" s="186">
        <f>$B42-Z37</f>
        <v>0</v>
      </c>
      <c r="AA38" s="186">
        <f>$B42-AA37</f>
        <v>0</v>
      </c>
      <c r="AB38" s="187">
        <f>SUM(P38:AA38)</f>
        <v>0</v>
      </c>
      <c r="AC38" s="186">
        <f>$B42-AC37</f>
        <v>0</v>
      </c>
      <c r="AD38" s="186">
        <f>$B42-AD37</f>
        <v>0</v>
      </c>
      <c r="AE38" s="186">
        <f>$B42-AE37</f>
        <v>0</v>
      </c>
      <c r="AF38" s="186">
        <f>$B42-AF37</f>
        <v>0</v>
      </c>
      <c r="AG38" s="186">
        <f aca="true" t="shared" si="114" ref="AG38:AN38">$B42-AG37</f>
        <v>0</v>
      </c>
      <c r="AH38" s="186">
        <f t="shared" si="114"/>
        <v>0</v>
      </c>
      <c r="AI38" s="186">
        <f t="shared" si="114"/>
        <v>0</v>
      </c>
      <c r="AJ38" s="186">
        <f t="shared" si="114"/>
        <v>0</v>
      </c>
      <c r="AK38" s="186">
        <f t="shared" si="114"/>
        <v>0</v>
      </c>
      <c r="AL38" s="186">
        <f t="shared" si="114"/>
        <v>0</v>
      </c>
      <c r="AM38" s="186">
        <f t="shared" si="114"/>
        <v>0</v>
      </c>
      <c r="AN38" s="186">
        <f t="shared" si="114"/>
        <v>0</v>
      </c>
      <c r="AO38" s="187">
        <f>SUM(AC38:AN38)</f>
        <v>0</v>
      </c>
      <c r="AP38" s="186">
        <f aca="true" t="shared" si="115" ref="AP38:BA38">$B42-AP37</f>
        <v>0</v>
      </c>
      <c r="AQ38" s="186">
        <f t="shared" si="115"/>
        <v>0</v>
      </c>
      <c r="AR38" s="186">
        <f t="shared" si="115"/>
        <v>0</v>
      </c>
      <c r="AS38" s="186">
        <f t="shared" si="115"/>
        <v>0</v>
      </c>
      <c r="AT38" s="186">
        <f t="shared" si="115"/>
        <v>0</v>
      </c>
      <c r="AU38" s="186">
        <f t="shared" si="115"/>
        <v>0</v>
      </c>
      <c r="AV38" s="186">
        <f t="shared" si="115"/>
        <v>0</v>
      </c>
      <c r="AW38" s="186">
        <f t="shared" si="115"/>
        <v>0</v>
      </c>
      <c r="AX38" s="186">
        <f t="shared" si="115"/>
        <v>0</v>
      </c>
      <c r="AY38" s="186">
        <f t="shared" si="115"/>
        <v>0</v>
      </c>
      <c r="AZ38" s="186">
        <f t="shared" si="115"/>
        <v>0</v>
      </c>
      <c r="BA38" s="186">
        <f t="shared" si="115"/>
        <v>0</v>
      </c>
      <c r="BB38" s="187">
        <f>SUM(AP38:BA38)</f>
        <v>0</v>
      </c>
      <c r="BC38" s="186">
        <f aca="true" t="shared" si="116" ref="BC38:BN38">$B42-BC37</f>
        <v>0</v>
      </c>
      <c r="BD38" s="186">
        <f t="shared" si="116"/>
        <v>0</v>
      </c>
      <c r="BE38" s="186">
        <f t="shared" si="116"/>
        <v>0</v>
      </c>
      <c r="BF38" s="186">
        <f t="shared" si="116"/>
        <v>0</v>
      </c>
      <c r="BG38" s="186">
        <f t="shared" si="116"/>
        <v>0</v>
      </c>
      <c r="BH38" s="186">
        <f t="shared" si="116"/>
        <v>0</v>
      </c>
      <c r="BI38" s="186">
        <f t="shared" si="116"/>
        <v>0</v>
      </c>
      <c r="BJ38" s="186">
        <f t="shared" si="116"/>
        <v>0</v>
      </c>
      <c r="BK38" s="186">
        <f t="shared" si="116"/>
        <v>0</v>
      </c>
      <c r="BL38" s="186">
        <f t="shared" si="116"/>
        <v>0</v>
      </c>
      <c r="BM38" s="186">
        <f t="shared" si="116"/>
        <v>0</v>
      </c>
      <c r="BN38" s="186">
        <f t="shared" si="116"/>
        <v>0</v>
      </c>
      <c r="BO38" s="187">
        <f>SUM(BC38:BN38)</f>
        <v>0</v>
      </c>
      <c r="BP38" s="186">
        <f aca="true" t="shared" si="117" ref="BP38:CA38">$B42-BP37</f>
        <v>0</v>
      </c>
      <c r="BQ38" s="186">
        <f t="shared" si="117"/>
        <v>0</v>
      </c>
      <c r="BR38" s="186">
        <f t="shared" si="117"/>
        <v>0</v>
      </c>
      <c r="BS38" s="186">
        <f t="shared" si="117"/>
        <v>0</v>
      </c>
      <c r="BT38" s="186">
        <f t="shared" si="117"/>
        <v>0</v>
      </c>
      <c r="BU38" s="186">
        <f t="shared" si="117"/>
        <v>0</v>
      </c>
      <c r="BV38" s="186">
        <f t="shared" si="117"/>
        <v>0</v>
      </c>
      <c r="BW38" s="186">
        <f t="shared" si="117"/>
        <v>0</v>
      </c>
      <c r="BX38" s="186">
        <f t="shared" si="117"/>
        <v>0</v>
      </c>
      <c r="BY38" s="186">
        <f t="shared" si="117"/>
        <v>0</v>
      </c>
      <c r="BZ38" s="186">
        <f t="shared" si="117"/>
        <v>0</v>
      </c>
      <c r="CA38" s="186">
        <f t="shared" si="117"/>
        <v>0</v>
      </c>
      <c r="CB38" s="187">
        <f>SUM(BP38:CA38)</f>
        <v>0</v>
      </c>
      <c r="CC38" s="186">
        <f aca="true" t="shared" si="118" ref="CC38:CN38">$B42-CC37</f>
        <v>0</v>
      </c>
      <c r="CD38" s="186">
        <f t="shared" si="118"/>
        <v>0</v>
      </c>
      <c r="CE38" s="186">
        <f t="shared" si="118"/>
        <v>0</v>
      </c>
      <c r="CF38" s="186">
        <f t="shared" si="118"/>
        <v>0</v>
      </c>
      <c r="CG38" s="186">
        <f t="shared" si="118"/>
        <v>0</v>
      </c>
      <c r="CH38" s="186">
        <f t="shared" si="118"/>
        <v>0</v>
      </c>
      <c r="CI38" s="186">
        <f t="shared" si="118"/>
        <v>0</v>
      </c>
      <c r="CJ38" s="186">
        <f t="shared" si="118"/>
        <v>0</v>
      </c>
      <c r="CK38" s="186">
        <f t="shared" si="118"/>
        <v>0</v>
      </c>
      <c r="CL38" s="186">
        <f t="shared" si="118"/>
        <v>0</v>
      </c>
      <c r="CM38" s="186">
        <f t="shared" si="118"/>
        <v>0</v>
      </c>
      <c r="CN38" s="186">
        <f t="shared" si="118"/>
        <v>0</v>
      </c>
      <c r="CO38" s="187">
        <f>SUM(CC38:CN38)</f>
        <v>0</v>
      </c>
      <c r="CP38" s="186">
        <f aca="true" t="shared" si="119" ref="CP38:CX38">$B42-CP37</f>
        <v>0</v>
      </c>
      <c r="CQ38" s="186">
        <f t="shared" si="119"/>
        <v>0</v>
      </c>
      <c r="CR38" s="186">
        <f t="shared" si="119"/>
        <v>0</v>
      </c>
      <c r="CS38" s="186">
        <f t="shared" si="119"/>
        <v>0</v>
      </c>
      <c r="CT38" s="186">
        <f t="shared" si="119"/>
        <v>0</v>
      </c>
      <c r="CU38" s="186">
        <f t="shared" si="119"/>
        <v>0</v>
      </c>
      <c r="CV38" s="186">
        <f t="shared" si="119"/>
        <v>0</v>
      </c>
      <c r="CW38" s="186">
        <f t="shared" si="119"/>
        <v>0</v>
      </c>
      <c r="CX38" s="186">
        <f t="shared" si="119"/>
        <v>0</v>
      </c>
      <c r="CY38" s="186"/>
      <c r="CZ38" s="186"/>
      <c r="DA38" s="186"/>
      <c r="DB38" s="187">
        <f>SUM(CP38:DA38)</f>
        <v>0</v>
      </c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7">
        <f>SUM(DC38:DN38)</f>
        <v>0</v>
      </c>
    </row>
    <row r="39" spans="1:119" ht="12.75">
      <c r="A39" s="180" t="s">
        <v>12</v>
      </c>
      <c r="B39" s="185">
        <f>O39+AB39+AO39+BB39+BO39+CB39+CO39+DB39+DO39</f>
        <v>0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91"/>
      <c r="M39" s="191"/>
      <c r="N39" s="191"/>
      <c r="O39" s="187">
        <f>SUM(C39:N39)</f>
        <v>0</v>
      </c>
      <c r="P39" s="191"/>
      <c r="Q39" s="191"/>
      <c r="R39" s="191"/>
      <c r="S39" s="186">
        <f aca="true" t="shared" si="120" ref="S39:AA39">S37</f>
        <v>0</v>
      </c>
      <c r="T39" s="186">
        <f t="shared" si="120"/>
        <v>0</v>
      </c>
      <c r="U39" s="186">
        <f t="shared" si="120"/>
        <v>0</v>
      </c>
      <c r="V39" s="186">
        <f t="shared" si="120"/>
        <v>0</v>
      </c>
      <c r="W39" s="186">
        <f t="shared" si="120"/>
        <v>0</v>
      </c>
      <c r="X39" s="186">
        <f t="shared" si="120"/>
        <v>0</v>
      </c>
      <c r="Y39" s="186">
        <f t="shared" si="120"/>
        <v>0</v>
      </c>
      <c r="Z39" s="186">
        <f t="shared" si="120"/>
        <v>0</v>
      </c>
      <c r="AA39" s="186">
        <f t="shared" si="120"/>
        <v>0</v>
      </c>
      <c r="AB39" s="187">
        <f>SUM(P39:AA39)</f>
        <v>0</v>
      </c>
      <c r="AC39" s="186">
        <f aca="true" t="shared" si="121" ref="AC39:AK39">AC37</f>
        <v>0</v>
      </c>
      <c r="AD39" s="186">
        <f t="shared" si="121"/>
        <v>0</v>
      </c>
      <c r="AE39" s="186">
        <f t="shared" si="121"/>
        <v>0</v>
      </c>
      <c r="AF39" s="186">
        <f t="shared" si="121"/>
        <v>0</v>
      </c>
      <c r="AG39" s="186">
        <f t="shared" si="121"/>
        <v>0</v>
      </c>
      <c r="AH39" s="186">
        <f t="shared" si="121"/>
        <v>0</v>
      </c>
      <c r="AI39" s="186">
        <f t="shared" si="121"/>
        <v>0</v>
      </c>
      <c r="AJ39" s="186">
        <f t="shared" si="121"/>
        <v>0</v>
      </c>
      <c r="AK39" s="186">
        <f t="shared" si="121"/>
        <v>0</v>
      </c>
      <c r="AL39" s="186">
        <f>AL37</f>
        <v>0</v>
      </c>
      <c r="AM39" s="186">
        <f>AM37</f>
        <v>0</v>
      </c>
      <c r="AN39" s="186">
        <f>AN37</f>
        <v>0</v>
      </c>
      <c r="AO39" s="187">
        <f>SUM(AC39:AN39)</f>
        <v>0</v>
      </c>
      <c r="AP39" s="186">
        <f aca="true" t="shared" si="122" ref="AP39:BA39">AP37</f>
        <v>0</v>
      </c>
      <c r="AQ39" s="186">
        <f t="shared" si="122"/>
        <v>0</v>
      </c>
      <c r="AR39" s="186">
        <f t="shared" si="122"/>
        <v>0</v>
      </c>
      <c r="AS39" s="186">
        <f t="shared" si="122"/>
        <v>0</v>
      </c>
      <c r="AT39" s="186">
        <f t="shared" si="122"/>
        <v>0</v>
      </c>
      <c r="AU39" s="186">
        <f t="shared" si="122"/>
        <v>0</v>
      </c>
      <c r="AV39" s="186">
        <f t="shared" si="122"/>
        <v>0</v>
      </c>
      <c r="AW39" s="186">
        <f t="shared" si="122"/>
        <v>0</v>
      </c>
      <c r="AX39" s="186">
        <f t="shared" si="122"/>
        <v>0</v>
      </c>
      <c r="AY39" s="186">
        <f t="shared" si="122"/>
        <v>0</v>
      </c>
      <c r="AZ39" s="186">
        <f t="shared" si="122"/>
        <v>0</v>
      </c>
      <c r="BA39" s="186">
        <f t="shared" si="122"/>
        <v>0</v>
      </c>
      <c r="BB39" s="187">
        <f>SUM(AP39:BA39)</f>
        <v>0</v>
      </c>
      <c r="BC39" s="186">
        <f aca="true" t="shared" si="123" ref="BC39:BN39">BC37</f>
        <v>0</v>
      </c>
      <c r="BD39" s="186">
        <f t="shared" si="123"/>
        <v>0</v>
      </c>
      <c r="BE39" s="186">
        <f t="shared" si="123"/>
        <v>0</v>
      </c>
      <c r="BF39" s="186">
        <f t="shared" si="123"/>
        <v>0</v>
      </c>
      <c r="BG39" s="186">
        <f t="shared" si="123"/>
        <v>0</v>
      </c>
      <c r="BH39" s="186">
        <f t="shared" si="123"/>
        <v>0</v>
      </c>
      <c r="BI39" s="186">
        <f t="shared" si="123"/>
        <v>0</v>
      </c>
      <c r="BJ39" s="186">
        <f t="shared" si="123"/>
        <v>0</v>
      </c>
      <c r="BK39" s="186">
        <f t="shared" si="123"/>
        <v>0</v>
      </c>
      <c r="BL39" s="186">
        <f t="shared" si="123"/>
        <v>0</v>
      </c>
      <c r="BM39" s="186">
        <f t="shared" si="123"/>
        <v>0</v>
      </c>
      <c r="BN39" s="186">
        <f t="shared" si="123"/>
        <v>0</v>
      </c>
      <c r="BO39" s="187">
        <f>SUM(BC39:BN39)</f>
        <v>0</v>
      </c>
      <c r="BP39" s="186">
        <f aca="true" t="shared" si="124" ref="BP39:CA39">BP37</f>
        <v>0</v>
      </c>
      <c r="BQ39" s="186">
        <f t="shared" si="124"/>
        <v>0</v>
      </c>
      <c r="BR39" s="186">
        <f t="shared" si="124"/>
        <v>0</v>
      </c>
      <c r="BS39" s="186">
        <f t="shared" si="124"/>
        <v>0</v>
      </c>
      <c r="BT39" s="186">
        <f t="shared" si="124"/>
        <v>0</v>
      </c>
      <c r="BU39" s="186">
        <f t="shared" si="124"/>
        <v>0</v>
      </c>
      <c r="BV39" s="186">
        <f t="shared" si="124"/>
        <v>0</v>
      </c>
      <c r="BW39" s="186">
        <f t="shared" si="124"/>
        <v>0</v>
      </c>
      <c r="BX39" s="186">
        <f t="shared" si="124"/>
        <v>0</v>
      </c>
      <c r="BY39" s="186">
        <f t="shared" si="124"/>
        <v>0</v>
      </c>
      <c r="BZ39" s="186">
        <f t="shared" si="124"/>
        <v>0</v>
      </c>
      <c r="CA39" s="186">
        <f t="shared" si="124"/>
        <v>0</v>
      </c>
      <c r="CB39" s="187">
        <f>SUM(BP39:CA39)</f>
        <v>0</v>
      </c>
      <c r="CC39" s="186">
        <f aca="true" t="shared" si="125" ref="CC39:CN39">CC37</f>
        <v>0</v>
      </c>
      <c r="CD39" s="186">
        <f t="shared" si="125"/>
        <v>0</v>
      </c>
      <c r="CE39" s="186">
        <f t="shared" si="125"/>
        <v>0</v>
      </c>
      <c r="CF39" s="186">
        <f t="shared" si="125"/>
        <v>0</v>
      </c>
      <c r="CG39" s="186">
        <f t="shared" si="125"/>
        <v>0</v>
      </c>
      <c r="CH39" s="186">
        <f t="shared" si="125"/>
        <v>0</v>
      </c>
      <c r="CI39" s="186">
        <f t="shared" si="125"/>
        <v>0</v>
      </c>
      <c r="CJ39" s="186">
        <f t="shared" si="125"/>
        <v>0</v>
      </c>
      <c r="CK39" s="186">
        <f t="shared" si="125"/>
        <v>0</v>
      </c>
      <c r="CL39" s="186">
        <f t="shared" si="125"/>
        <v>0</v>
      </c>
      <c r="CM39" s="186">
        <f t="shared" si="125"/>
        <v>0</v>
      </c>
      <c r="CN39" s="186">
        <f t="shared" si="125"/>
        <v>0</v>
      </c>
      <c r="CO39" s="187">
        <f>SUM(CC39:CN39)</f>
        <v>0</v>
      </c>
      <c r="CP39" s="186">
        <f aca="true" t="shared" si="126" ref="CP39:DA39">CP37</f>
        <v>0</v>
      </c>
      <c r="CQ39" s="186">
        <f t="shared" si="126"/>
        <v>0</v>
      </c>
      <c r="CR39" s="186">
        <f t="shared" si="126"/>
        <v>0</v>
      </c>
      <c r="CS39" s="186">
        <f t="shared" si="126"/>
        <v>0</v>
      </c>
      <c r="CT39" s="186">
        <f t="shared" si="126"/>
        <v>0</v>
      </c>
      <c r="CU39" s="186">
        <f t="shared" si="126"/>
        <v>0</v>
      </c>
      <c r="CV39" s="186">
        <f t="shared" si="126"/>
        <v>0</v>
      </c>
      <c r="CW39" s="186">
        <f t="shared" si="126"/>
        <v>0</v>
      </c>
      <c r="CX39" s="186">
        <f t="shared" si="126"/>
        <v>0</v>
      </c>
      <c r="CY39" s="186">
        <f t="shared" si="126"/>
        <v>0</v>
      </c>
      <c r="CZ39" s="186">
        <f t="shared" si="126"/>
        <v>0</v>
      </c>
      <c r="DA39" s="186">
        <f t="shared" si="126"/>
        <v>0</v>
      </c>
      <c r="DB39" s="187">
        <f>SUM(CP39:DA39)</f>
        <v>0</v>
      </c>
      <c r="DC39" s="186">
        <f aca="true" t="shared" si="127" ref="DC39:DN39">DC37</f>
        <v>0</v>
      </c>
      <c r="DD39" s="186">
        <f t="shared" si="127"/>
        <v>0</v>
      </c>
      <c r="DE39" s="186">
        <f t="shared" si="127"/>
        <v>0</v>
      </c>
      <c r="DF39" s="186">
        <f t="shared" si="127"/>
        <v>0</v>
      </c>
      <c r="DG39" s="186">
        <f t="shared" si="127"/>
        <v>0</v>
      </c>
      <c r="DH39" s="186">
        <f t="shared" si="127"/>
        <v>0</v>
      </c>
      <c r="DI39" s="186">
        <f t="shared" si="127"/>
        <v>0</v>
      </c>
      <c r="DJ39" s="186">
        <f t="shared" si="127"/>
        <v>0</v>
      </c>
      <c r="DK39" s="186">
        <f t="shared" si="127"/>
        <v>0</v>
      </c>
      <c r="DL39" s="186">
        <f t="shared" si="127"/>
        <v>0</v>
      </c>
      <c r="DM39" s="186">
        <f t="shared" si="127"/>
        <v>0</v>
      </c>
      <c r="DN39" s="186">
        <f t="shared" si="127"/>
        <v>0</v>
      </c>
      <c r="DO39" s="187">
        <f>SUM(DC39:DN39)</f>
        <v>0</v>
      </c>
    </row>
    <row r="40" spans="1:119" ht="12.75">
      <c r="A40" s="180" t="s">
        <v>13</v>
      </c>
      <c r="B40" s="185">
        <f>DO40</f>
        <v>0</v>
      </c>
      <c r="C40" s="186">
        <f>C35</f>
        <v>0</v>
      </c>
      <c r="D40" s="186">
        <f aca="true" t="shared" si="128" ref="D40:N40">C40+D35-D38+D36</f>
        <v>0</v>
      </c>
      <c r="E40" s="186">
        <f t="shared" si="128"/>
        <v>0</v>
      </c>
      <c r="F40" s="186">
        <f t="shared" si="128"/>
        <v>0</v>
      </c>
      <c r="G40" s="186">
        <f t="shared" si="128"/>
        <v>0</v>
      </c>
      <c r="H40" s="186">
        <f t="shared" si="128"/>
        <v>0</v>
      </c>
      <c r="I40" s="186">
        <f t="shared" si="128"/>
        <v>0</v>
      </c>
      <c r="J40" s="186">
        <f t="shared" si="128"/>
        <v>0</v>
      </c>
      <c r="K40" s="186">
        <f t="shared" si="128"/>
        <v>0</v>
      </c>
      <c r="L40" s="186">
        <f t="shared" si="128"/>
        <v>0</v>
      </c>
      <c r="M40" s="186">
        <f t="shared" si="128"/>
        <v>0</v>
      </c>
      <c r="N40" s="186">
        <f t="shared" si="128"/>
        <v>0</v>
      </c>
      <c r="O40" s="187">
        <f>N40</f>
        <v>0</v>
      </c>
      <c r="P40" s="186">
        <f aca="true" t="shared" si="129" ref="P40:AA40">O40+P35-P38+P36</f>
        <v>0</v>
      </c>
      <c r="Q40" s="186">
        <f t="shared" si="129"/>
        <v>0</v>
      </c>
      <c r="R40" s="186">
        <f t="shared" si="129"/>
        <v>0</v>
      </c>
      <c r="S40" s="186">
        <f t="shared" si="129"/>
        <v>0</v>
      </c>
      <c r="T40" s="186">
        <f t="shared" si="129"/>
        <v>0</v>
      </c>
      <c r="U40" s="186">
        <f t="shared" si="129"/>
        <v>0</v>
      </c>
      <c r="V40" s="186">
        <f t="shared" si="129"/>
        <v>0</v>
      </c>
      <c r="W40" s="186">
        <f t="shared" si="129"/>
        <v>0</v>
      </c>
      <c r="X40" s="186">
        <f t="shared" si="129"/>
        <v>0</v>
      </c>
      <c r="Y40" s="186">
        <f t="shared" si="129"/>
        <v>0</v>
      </c>
      <c r="Z40" s="186">
        <f t="shared" si="129"/>
        <v>0</v>
      </c>
      <c r="AA40" s="186">
        <f t="shared" si="129"/>
        <v>0</v>
      </c>
      <c r="AB40" s="187">
        <f>AA40</f>
        <v>0</v>
      </c>
      <c r="AC40" s="186">
        <f aca="true" t="shared" si="130" ref="AC40:AN40">AB40+AC35-AC38+AC36</f>
        <v>0</v>
      </c>
      <c r="AD40" s="186">
        <f t="shared" si="130"/>
        <v>0</v>
      </c>
      <c r="AE40" s="186">
        <f t="shared" si="130"/>
        <v>0</v>
      </c>
      <c r="AF40" s="186">
        <f t="shared" si="130"/>
        <v>0</v>
      </c>
      <c r="AG40" s="186">
        <f t="shared" si="130"/>
        <v>0</v>
      </c>
      <c r="AH40" s="186">
        <f t="shared" si="130"/>
        <v>0</v>
      </c>
      <c r="AI40" s="186">
        <f t="shared" si="130"/>
        <v>0</v>
      </c>
      <c r="AJ40" s="186">
        <f t="shared" si="130"/>
        <v>0</v>
      </c>
      <c r="AK40" s="186">
        <f t="shared" si="130"/>
        <v>0</v>
      </c>
      <c r="AL40" s="186">
        <f t="shared" si="130"/>
        <v>0</v>
      </c>
      <c r="AM40" s="186">
        <f t="shared" si="130"/>
        <v>0</v>
      </c>
      <c r="AN40" s="186">
        <f t="shared" si="130"/>
        <v>0</v>
      </c>
      <c r="AO40" s="187">
        <f>AN40</f>
        <v>0</v>
      </c>
      <c r="AP40" s="186">
        <f aca="true" t="shared" si="131" ref="AP40:BA40">AO40+AP35-AP38+AP36</f>
        <v>0</v>
      </c>
      <c r="AQ40" s="186">
        <f t="shared" si="131"/>
        <v>0</v>
      </c>
      <c r="AR40" s="186">
        <f t="shared" si="131"/>
        <v>0</v>
      </c>
      <c r="AS40" s="186">
        <f t="shared" si="131"/>
        <v>0</v>
      </c>
      <c r="AT40" s="186">
        <f t="shared" si="131"/>
        <v>0</v>
      </c>
      <c r="AU40" s="186">
        <f t="shared" si="131"/>
        <v>0</v>
      </c>
      <c r="AV40" s="186">
        <f t="shared" si="131"/>
        <v>0</v>
      </c>
      <c r="AW40" s="186">
        <f t="shared" si="131"/>
        <v>0</v>
      </c>
      <c r="AX40" s="186">
        <f t="shared" si="131"/>
        <v>0</v>
      </c>
      <c r="AY40" s="186">
        <f t="shared" si="131"/>
        <v>0</v>
      </c>
      <c r="AZ40" s="186">
        <f t="shared" si="131"/>
        <v>0</v>
      </c>
      <c r="BA40" s="186">
        <f t="shared" si="131"/>
        <v>0</v>
      </c>
      <c r="BB40" s="187">
        <f>BA40</f>
        <v>0</v>
      </c>
      <c r="BC40" s="186">
        <f aca="true" t="shared" si="132" ref="BC40:BN40">BB40+BC35-BC38+BC36</f>
        <v>0</v>
      </c>
      <c r="BD40" s="186">
        <f t="shared" si="132"/>
        <v>0</v>
      </c>
      <c r="BE40" s="186">
        <f t="shared" si="132"/>
        <v>0</v>
      </c>
      <c r="BF40" s="186">
        <f t="shared" si="132"/>
        <v>0</v>
      </c>
      <c r="BG40" s="186">
        <f t="shared" si="132"/>
        <v>0</v>
      </c>
      <c r="BH40" s="186">
        <f t="shared" si="132"/>
        <v>0</v>
      </c>
      <c r="BI40" s="186">
        <f t="shared" si="132"/>
        <v>0</v>
      </c>
      <c r="BJ40" s="186">
        <f t="shared" si="132"/>
        <v>0</v>
      </c>
      <c r="BK40" s="186">
        <f t="shared" si="132"/>
        <v>0</v>
      </c>
      <c r="BL40" s="186">
        <f t="shared" si="132"/>
        <v>0</v>
      </c>
      <c r="BM40" s="186">
        <f t="shared" si="132"/>
        <v>0</v>
      </c>
      <c r="BN40" s="186">
        <f t="shared" si="132"/>
        <v>0</v>
      </c>
      <c r="BO40" s="187">
        <f>BN40</f>
        <v>0</v>
      </c>
      <c r="BP40" s="186">
        <f aca="true" t="shared" si="133" ref="BP40:CA40">BO40+BP35-BP38+BP36</f>
        <v>0</v>
      </c>
      <c r="BQ40" s="186">
        <f t="shared" si="133"/>
        <v>0</v>
      </c>
      <c r="BR40" s="186">
        <f t="shared" si="133"/>
        <v>0</v>
      </c>
      <c r="BS40" s="186">
        <f t="shared" si="133"/>
        <v>0</v>
      </c>
      <c r="BT40" s="186">
        <f t="shared" si="133"/>
        <v>0</v>
      </c>
      <c r="BU40" s="186">
        <f t="shared" si="133"/>
        <v>0</v>
      </c>
      <c r="BV40" s="186">
        <f t="shared" si="133"/>
        <v>0</v>
      </c>
      <c r="BW40" s="186">
        <f t="shared" si="133"/>
        <v>0</v>
      </c>
      <c r="BX40" s="186">
        <f t="shared" si="133"/>
        <v>0</v>
      </c>
      <c r="BY40" s="186">
        <f t="shared" si="133"/>
        <v>0</v>
      </c>
      <c r="BZ40" s="186">
        <f t="shared" si="133"/>
        <v>0</v>
      </c>
      <c r="CA40" s="186">
        <f t="shared" si="133"/>
        <v>0</v>
      </c>
      <c r="CB40" s="187">
        <f>CA40</f>
        <v>0</v>
      </c>
      <c r="CC40" s="186">
        <f aca="true" t="shared" si="134" ref="CC40:CN40">CB40+CC35-CC38+CC36</f>
        <v>0</v>
      </c>
      <c r="CD40" s="186">
        <f t="shared" si="134"/>
        <v>0</v>
      </c>
      <c r="CE40" s="186">
        <f t="shared" si="134"/>
        <v>0</v>
      </c>
      <c r="CF40" s="186">
        <f t="shared" si="134"/>
        <v>0</v>
      </c>
      <c r="CG40" s="186">
        <f t="shared" si="134"/>
        <v>0</v>
      </c>
      <c r="CH40" s="186">
        <f t="shared" si="134"/>
        <v>0</v>
      </c>
      <c r="CI40" s="186">
        <f t="shared" si="134"/>
        <v>0</v>
      </c>
      <c r="CJ40" s="186">
        <f t="shared" si="134"/>
        <v>0</v>
      </c>
      <c r="CK40" s="186">
        <f t="shared" si="134"/>
        <v>0</v>
      </c>
      <c r="CL40" s="186">
        <f t="shared" si="134"/>
        <v>0</v>
      </c>
      <c r="CM40" s="186">
        <f t="shared" si="134"/>
        <v>0</v>
      </c>
      <c r="CN40" s="186">
        <f t="shared" si="134"/>
        <v>0</v>
      </c>
      <c r="CO40" s="187">
        <f>CN40</f>
        <v>0</v>
      </c>
      <c r="CP40" s="186">
        <f aca="true" t="shared" si="135" ref="CP40:DA40">CO40+CP35-CP38+CP36</f>
        <v>0</v>
      </c>
      <c r="CQ40" s="186">
        <f t="shared" si="135"/>
        <v>0</v>
      </c>
      <c r="CR40" s="186">
        <f t="shared" si="135"/>
        <v>0</v>
      </c>
      <c r="CS40" s="186">
        <f t="shared" si="135"/>
        <v>0</v>
      </c>
      <c r="CT40" s="186">
        <f t="shared" si="135"/>
        <v>0</v>
      </c>
      <c r="CU40" s="186">
        <f t="shared" si="135"/>
        <v>0</v>
      </c>
      <c r="CV40" s="186">
        <f t="shared" si="135"/>
        <v>0</v>
      </c>
      <c r="CW40" s="186">
        <f t="shared" si="135"/>
        <v>0</v>
      </c>
      <c r="CX40" s="186">
        <f t="shared" si="135"/>
        <v>0</v>
      </c>
      <c r="CY40" s="186">
        <f t="shared" si="135"/>
        <v>0</v>
      </c>
      <c r="CZ40" s="186">
        <f t="shared" si="135"/>
        <v>0</v>
      </c>
      <c r="DA40" s="186">
        <f t="shared" si="135"/>
        <v>0</v>
      </c>
      <c r="DB40" s="187">
        <f>DA40</f>
        <v>0</v>
      </c>
      <c r="DC40" s="186">
        <f aca="true" t="shared" si="136" ref="DC40:DN40">DB40+DC35-DC38+DC36</f>
        <v>0</v>
      </c>
      <c r="DD40" s="186">
        <f t="shared" si="136"/>
        <v>0</v>
      </c>
      <c r="DE40" s="186">
        <f t="shared" si="136"/>
        <v>0</v>
      </c>
      <c r="DF40" s="186">
        <f t="shared" si="136"/>
        <v>0</v>
      </c>
      <c r="DG40" s="186">
        <f t="shared" si="136"/>
        <v>0</v>
      </c>
      <c r="DH40" s="186">
        <f t="shared" si="136"/>
        <v>0</v>
      </c>
      <c r="DI40" s="186">
        <f t="shared" si="136"/>
        <v>0</v>
      </c>
      <c r="DJ40" s="186">
        <f t="shared" si="136"/>
        <v>0</v>
      </c>
      <c r="DK40" s="186">
        <f t="shared" si="136"/>
        <v>0</v>
      </c>
      <c r="DL40" s="186">
        <f t="shared" si="136"/>
        <v>0</v>
      </c>
      <c r="DM40" s="186">
        <f t="shared" si="136"/>
        <v>0</v>
      </c>
      <c r="DN40" s="186">
        <f t="shared" si="136"/>
        <v>0</v>
      </c>
      <c r="DO40" s="187">
        <f>DN40</f>
        <v>0</v>
      </c>
    </row>
    <row r="41" spans="1:119" ht="12.75">
      <c r="A41" s="172" t="s">
        <v>70</v>
      </c>
      <c r="B41" s="283">
        <f>B26</f>
        <v>33</v>
      </c>
      <c r="CP41" s="175"/>
      <c r="DB41" s="172"/>
      <c r="DO41" s="172"/>
    </row>
    <row r="42" spans="1:119" ht="12.75">
      <c r="A42" s="284" t="s">
        <v>210</v>
      </c>
      <c r="B42" s="285">
        <f>$R$40*$B33/12/((1-(1+$B33/12)^-$B41))</f>
        <v>0</v>
      </c>
      <c r="DB42" s="172"/>
      <c r="DO42" s="172"/>
    </row>
    <row r="44" ht="12.75">
      <c r="A44" s="193">
        <f>B37-B36-B39</f>
        <v>0</v>
      </c>
    </row>
    <row r="45" ht="12.75">
      <c r="A45" s="193">
        <f>B35+B36-B38-B40</f>
        <v>0</v>
      </c>
    </row>
    <row r="47" spans="1:119" ht="12.75">
      <c r="A47" s="282" t="s">
        <v>212</v>
      </c>
      <c r="B47" s="280"/>
      <c r="DB47" s="172"/>
      <c r="DO47" s="172"/>
    </row>
    <row r="48" spans="1:119" ht="15.75" customHeight="1">
      <c r="A48" s="179" t="s">
        <v>9</v>
      </c>
      <c r="B48" s="281">
        <f>Исх!$C$42</f>
        <v>0.07</v>
      </c>
      <c r="C48" s="343">
        <v>2013</v>
      </c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>
        <v>2014</v>
      </c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>
        <v>2015</v>
      </c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>
        <v>2016</v>
      </c>
      <c r="AQ48" s="343"/>
      <c r="AR48" s="343"/>
      <c r="AS48" s="343"/>
      <c r="AT48" s="343"/>
      <c r="AU48" s="343"/>
      <c r="AV48" s="343"/>
      <c r="AW48" s="343"/>
      <c r="AX48" s="343"/>
      <c r="AY48" s="343"/>
      <c r="AZ48" s="343"/>
      <c r="BA48" s="343"/>
      <c r="BB48" s="343"/>
      <c r="BC48" s="343">
        <v>2017</v>
      </c>
      <c r="BD48" s="343"/>
      <c r="BE48" s="343"/>
      <c r="BF48" s="343"/>
      <c r="BG48" s="343"/>
      <c r="BH48" s="343"/>
      <c r="BI48" s="343"/>
      <c r="BJ48" s="343"/>
      <c r="BK48" s="343"/>
      <c r="BL48" s="343"/>
      <c r="BM48" s="343"/>
      <c r="BN48" s="343"/>
      <c r="BO48" s="343"/>
      <c r="BP48" s="343">
        <v>2018</v>
      </c>
      <c r="BQ48" s="343"/>
      <c r="BR48" s="343"/>
      <c r="BS48" s="343"/>
      <c r="BT48" s="343"/>
      <c r="BU48" s="343"/>
      <c r="BV48" s="343"/>
      <c r="BW48" s="343"/>
      <c r="BX48" s="343"/>
      <c r="BY48" s="343"/>
      <c r="BZ48" s="343"/>
      <c r="CA48" s="343"/>
      <c r="CB48" s="343"/>
      <c r="CC48" s="343">
        <v>2019</v>
      </c>
      <c r="CD48" s="343"/>
      <c r="CE48" s="343"/>
      <c r="CF48" s="343"/>
      <c r="CG48" s="343"/>
      <c r="CH48" s="343"/>
      <c r="CI48" s="343"/>
      <c r="CJ48" s="343"/>
      <c r="CK48" s="343"/>
      <c r="CL48" s="343"/>
      <c r="CM48" s="343"/>
      <c r="CN48" s="343"/>
      <c r="CO48" s="343"/>
      <c r="CP48" s="343">
        <v>2020</v>
      </c>
      <c r="CQ48" s="343"/>
      <c r="CR48" s="343"/>
      <c r="CS48" s="343"/>
      <c r="CT48" s="343"/>
      <c r="CU48" s="343"/>
      <c r="CV48" s="343"/>
      <c r="CW48" s="343"/>
      <c r="CX48" s="343"/>
      <c r="CY48" s="343"/>
      <c r="CZ48" s="343"/>
      <c r="DA48" s="343"/>
      <c r="DB48" s="343"/>
      <c r="DC48" s="343">
        <v>2021</v>
      </c>
      <c r="DD48" s="343"/>
      <c r="DE48" s="343"/>
      <c r="DF48" s="343"/>
      <c r="DG48" s="343"/>
      <c r="DH48" s="343"/>
      <c r="DI48" s="343"/>
      <c r="DJ48" s="343"/>
      <c r="DK48" s="343"/>
      <c r="DL48" s="343"/>
      <c r="DM48" s="343"/>
      <c r="DN48" s="343"/>
      <c r="DO48" s="343"/>
    </row>
    <row r="49" spans="1:119" s="184" customFormat="1" ht="15" customHeight="1">
      <c r="A49" s="180" t="s">
        <v>7</v>
      </c>
      <c r="B49" s="181" t="s">
        <v>80</v>
      </c>
      <c r="C49" s="182">
        <v>1</v>
      </c>
      <c r="D49" s="182">
        <v>2</v>
      </c>
      <c r="E49" s="182">
        <f aca="true" t="shared" si="137" ref="E49:N49">D49+1</f>
        <v>3</v>
      </c>
      <c r="F49" s="182">
        <f t="shared" si="137"/>
        <v>4</v>
      </c>
      <c r="G49" s="182">
        <f t="shared" si="137"/>
        <v>5</v>
      </c>
      <c r="H49" s="182">
        <f t="shared" si="137"/>
        <v>6</v>
      </c>
      <c r="I49" s="182">
        <f t="shared" si="137"/>
        <v>7</v>
      </c>
      <c r="J49" s="182">
        <f t="shared" si="137"/>
        <v>8</v>
      </c>
      <c r="K49" s="182">
        <f t="shared" si="137"/>
        <v>9</v>
      </c>
      <c r="L49" s="182">
        <f t="shared" si="137"/>
        <v>10</v>
      </c>
      <c r="M49" s="182">
        <f t="shared" si="137"/>
        <v>11</v>
      </c>
      <c r="N49" s="182">
        <f t="shared" si="137"/>
        <v>12</v>
      </c>
      <c r="O49" s="183">
        <f>O33</f>
        <v>0</v>
      </c>
      <c r="P49" s="182">
        <v>1</v>
      </c>
      <c r="Q49" s="182">
        <v>2</v>
      </c>
      <c r="R49" s="182">
        <f aca="true" t="shared" si="138" ref="R49:AA49">Q49+1</f>
        <v>3</v>
      </c>
      <c r="S49" s="182">
        <f t="shared" si="138"/>
        <v>4</v>
      </c>
      <c r="T49" s="182">
        <f t="shared" si="138"/>
        <v>5</v>
      </c>
      <c r="U49" s="182">
        <f t="shared" si="138"/>
        <v>6</v>
      </c>
      <c r="V49" s="182">
        <f t="shared" si="138"/>
        <v>7</v>
      </c>
      <c r="W49" s="182">
        <f t="shared" si="138"/>
        <v>8</v>
      </c>
      <c r="X49" s="182">
        <f t="shared" si="138"/>
        <v>9</v>
      </c>
      <c r="Y49" s="182">
        <f t="shared" si="138"/>
        <v>10</v>
      </c>
      <c r="Z49" s="182">
        <f t="shared" si="138"/>
        <v>11</v>
      </c>
      <c r="AA49" s="182">
        <f t="shared" si="138"/>
        <v>12</v>
      </c>
      <c r="AB49" s="183">
        <f>AB33</f>
        <v>0</v>
      </c>
      <c r="AC49" s="182">
        <v>1</v>
      </c>
      <c r="AD49" s="182">
        <v>2</v>
      </c>
      <c r="AE49" s="182">
        <f aca="true" t="shared" si="139" ref="AE49:AN49">AD49+1</f>
        <v>3</v>
      </c>
      <c r="AF49" s="182">
        <f t="shared" si="139"/>
        <v>4</v>
      </c>
      <c r="AG49" s="182">
        <f t="shared" si="139"/>
        <v>5</v>
      </c>
      <c r="AH49" s="182">
        <f t="shared" si="139"/>
        <v>6</v>
      </c>
      <c r="AI49" s="182">
        <f t="shared" si="139"/>
        <v>7</v>
      </c>
      <c r="AJ49" s="182">
        <f t="shared" si="139"/>
        <v>8</v>
      </c>
      <c r="AK49" s="182">
        <f t="shared" si="139"/>
        <v>9</v>
      </c>
      <c r="AL49" s="182">
        <f t="shared" si="139"/>
        <v>10</v>
      </c>
      <c r="AM49" s="182">
        <f t="shared" si="139"/>
        <v>11</v>
      </c>
      <c r="AN49" s="182">
        <f t="shared" si="139"/>
        <v>12</v>
      </c>
      <c r="AO49" s="183">
        <f>AO33</f>
        <v>0</v>
      </c>
      <c r="AP49" s="182">
        <v>1</v>
      </c>
      <c r="AQ49" s="182">
        <v>2</v>
      </c>
      <c r="AR49" s="182">
        <f aca="true" t="shared" si="140" ref="AR49:BA49">AQ49+1</f>
        <v>3</v>
      </c>
      <c r="AS49" s="182">
        <f t="shared" si="140"/>
        <v>4</v>
      </c>
      <c r="AT49" s="182">
        <f t="shared" si="140"/>
        <v>5</v>
      </c>
      <c r="AU49" s="182">
        <f t="shared" si="140"/>
        <v>6</v>
      </c>
      <c r="AV49" s="182">
        <f t="shared" si="140"/>
        <v>7</v>
      </c>
      <c r="AW49" s="182">
        <f t="shared" si="140"/>
        <v>8</v>
      </c>
      <c r="AX49" s="182">
        <f t="shared" si="140"/>
        <v>9</v>
      </c>
      <c r="AY49" s="182">
        <f t="shared" si="140"/>
        <v>10</v>
      </c>
      <c r="AZ49" s="182">
        <f t="shared" si="140"/>
        <v>11</v>
      </c>
      <c r="BA49" s="182">
        <f t="shared" si="140"/>
        <v>12</v>
      </c>
      <c r="BB49" s="183">
        <f>BB33</f>
        <v>0</v>
      </c>
      <c r="BC49" s="182">
        <v>1</v>
      </c>
      <c r="BD49" s="182">
        <v>2</v>
      </c>
      <c r="BE49" s="182">
        <f aca="true" t="shared" si="141" ref="BE49:BN49">BD49+1</f>
        <v>3</v>
      </c>
      <c r="BF49" s="182">
        <f t="shared" si="141"/>
        <v>4</v>
      </c>
      <c r="BG49" s="182">
        <f t="shared" si="141"/>
        <v>5</v>
      </c>
      <c r="BH49" s="182">
        <f t="shared" si="141"/>
        <v>6</v>
      </c>
      <c r="BI49" s="182">
        <f t="shared" si="141"/>
        <v>7</v>
      </c>
      <c r="BJ49" s="182">
        <f t="shared" si="141"/>
        <v>8</v>
      </c>
      <c r="BK49" s="182">
        <f t="shared" si="141"/>
        <v>9</v>
      </c>
      <c r="BL49" s="182">
        <f t="shared" si="141"/>
        <v>10</v>
      </c>
      <c r="BM49" s="182">
        <f t="shared" si="141"/>
        <v>11</v>
      </c>
      <c r="BN49" s="182">
        <f t="shared" si="141"/>
        <v>12</v>
      </c>
      <c r="BO49" s="183">
        <f>BO33</f>
        <v>0</v>
      </c>
      <c r="BP49" s="182">
        <v>1</v>
      </c>
      <c r="BQ49" s="182">
        <v>2</v>
      </c>
      <c r="BR49" s="182">
        <f aca="true" t="shared" si="142" ref="BR49:CA49">BQ49+1</f>
        <v>3</v>
      </c>
      <c r="BS49" s="182">
        <f t="shared" si="142"/>
        <v>4</v>
      </c>
      <c r="BT49" s="182">
        <f t="shared" si="142"/>
        <v>5</v>
      </c>
      <c r="BU49" s="182">
        <f t="shared" si="142"/>
        <v>6</v>
      </c>
      <c r="BV49" s="182">
        <f t="shared" si="142"/>
        <v>7</v>
      </c>
      <c r="BW49" s="182">
        <f t="shared" si="142"/>
        <v>8</v>
      </c>
      <c r="BX49" s="182">
        <f t="shared" si="142"/>
        <v>9</v>
      </c>
      <c r="BY49" s="182">
        <f t="shared" si="142"/>
        <v>10</v>
      </c>
      <c r="BZ49" s="182">
        <f t="shared" si="142"/>
        <v>11</v>
      </c>
      <c r="CA49" s="182">
        <f t="shared" si="142"/>
        <v>12</v>
      </c>
      <c r="CB49" s="183">
        <f>CB33</f>
        <v>0</v>
      </c>
      <c r="CC49" s="182">
        <v>1</v>
      </c>
      <c r="CD49" s="182">
        <v>2</v>
      </c>
      <c r="CE49" s="182">
        <f aca="true" t="shared" si="143" ref="CE49:CN49">CD49+1</f>
        <v>3</v>
      </c>
      <c r="CF49" s="182">
        <f t="shared" si="143"/>
        <v>4</v>
      </c>
      <c r="CG49" s="182">
        <f t="shared" si="143"/>
        <v>5</v>
      </c>
      <c r="CH49" s="182">
        <f t="shared" si="143"/>
        <v>6</v>
      </c>
      <c r="CI49" s="182">
        <f t="shared" si="143"/>
        <v>7</v>
      </c>
      <c r="CJ49" s="182">
        <f t="shared" si="143"/>
        <v>8</v>
      </c>
      <c r="CK49" s="182">
        <f t="shared" si="143"/>
        <v>9</v>
      </c>
      <c r="CL49" s="182">
        <f t="shared" si="143"/>
        <v>10</v>
      </c>
      <c r="CM49" s="182">
        <f t="shared" si="143"/>
        <v>11</v>
      </c>
      <c r="CN49" s="182">
        <f t="shared" si="143"/>
        <v>12</v>
      </c>
      <c r="CO49" s="183">
        <f>CO33</f>
        <v>0</v>
      </c>
      <c r="CP49" s="182">
        <v>1</v>
      </c>
      <c r="CQ49" s="182">
        <f aca="true" t="shared" si="144" ref="CQ49:DA49">CP49+1</f>
        <v>2</v>
      </c>
      <c r="CR49" s="182">
        <f t="shared" si="144"/>
        <v>3</v>
      </c>
      <c r="CS49" s="182">
        <f t="shared" si="144"/>
        <v>4</v>
      </c>
      <c r="CT49" s="182">
        <f t="shared" si="144"/>
        <v>5</v>
      </c>
      <c r="CU49" s="182">
        <f t="shared" si="144"/>
        <v>6</v>
      </c>
      <c r="CV49" s="182">
        <f t="shared" si="144"/>
        <v>7</v>
      </c>
      <c r="CW49" s="182">
        <f t="shared" si="144"/>
        <v>8</v>
      </c>
      <c r="CX49" s="182">
        <f t="shared" si="144"/>
        <v>9</v>
      </c>
      <c r="CY49" s="182">
        <f t="shared" si="144"/>
        <v>10</v>
      </c>
      <c r="CZ49" s="182">
        <f t="shared" si="144"/>
        <v>11</v>
      </c>
      <c r="DA49" s="182">
        <f t="shared" si="144"/>
        <v>12</v>
      </c>
      <c r="DB49" s="183">
        <f>DB33</f>
        <v>0</v>
      </c>
      <c r="DC49" s="182">
        <v>1</v>
      </c>
      <c r="DD49" s="182">
        <f aca="true" t="shared" si="145" ref="DD49:DN49">DC49+1</f>
        <v>2</v>
      </c>
      <c r="DE49" s="182">
        <f t="shared" si="145"/>
        <v>3</v>
      </c>
      <c r="DF49" s="182">
        <f t="shared" si="145"/>
        <v>4</v>
      </c>
      <c r="DG49" s="182">
        <f t="shared" si="145"/>
        <v>5</v>
      </c>
      <c r="DH49" s="182">
        <f t="shared" si="145"/>
        <v>6</v>
      </c>
      <c r="DI49" s="182">
        <f t="shared" si="145"/>
        <v>7</v>
      </c>
      <c r="DJ49" s="182">
        <f t="shared" si="145"/>
        <v>8</v>
      </c>
      <c r="DK49" s="182">
        <f t="shared" si="145"/>
        <v>9</v>
      </c>
      <c r="DL49" s="182">
        <f t="shared" si="145"/>
        <v>10</v>
      </c>
      <c r="DM49" s="182">
        <f t="shared" si="145"/>
        <v>11</v>
      </c>
      <c r="DN49" s="182">
        <f t="shared" si="145"/>
        <v>12</v>
      </c>
      <c r="DO49" s="183" t="s">
        <v>0</v>
      </c>
    </row>
    <row r="50" spans="1:119" ht="12.75">
      <c r="A50" s="180" t="s">
        <v>98</v>
      </c>
      <c r="B50" s="185">
        <f>O50+AB50+AO50+BB50+BO50+CB50+CO50+DB50+DO50</f>
        <v>0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7">
        <f>SUM(C50:N50)</f>
        <v>0</v>
      </c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>
        <f>SUM(P50:AA50)</f>
        <v>0</v>
      </c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>
        <f>SUM(AC50:AN50)</f>
        <v>0</v>
      </c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</row>
    <row r="51" spans="1:119" s="189" customFormat="1" ht="20.25" customHeight="1">
      <c r="A51" s="180" t="s">
        <v>27</v>
      </c>
      <c r="B51" s="185">
        <f>O51+AB51+AO51+BB51+BO51+CB51+CO51+DB51+DO51</f>
        <v>0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7">
        <f>SUM(C51:N51)</f>
        <v>0</v>
      </c>
      <c r="P51" s="186"/>
      <c r="Q51" s="186"/>
      <c r="R51" s="186"/>
      <c r="S51" s="186">
        <f>SUM(O52:S52)</f>
        <v>0</v>
      </c>
      <c r="T51" s="186"/>
      <c r="U51" s="186"/>
      <c r="V51" s="186"/>
      <c r="W51" s="186"/>
      <c r="X51" s="186"/>
      <c r="Y51" s="186"/>
      <c r="Z51" s="186"/>
      <c r="AA51" s="186"/>
      <c r="AB51" s="187">
        <f>SUM(P51:AA51)</f>
        <v>0</v>
      </c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7">
        <f>SUM(AC51:AN51)</f>
        <v>0</v>
      </c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7">
        <f>SUM(AP51:BA51)</f>
        <v>0</v>
      </c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7">
        <f>SUM(BC51:BN51)</f>
        <v>0</v>
      </c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7">
        <f>SUM(BP51:CA51)</f>
        <v>0</v>
      </c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7">
        <f>SUM(CC51:CN51)</f>
        <v>0</v>
      </c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7">
        <f>SUM(CP51:DA51)</f>
        <v>0</v>
      </c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7">
        <f>SUM(DC51:DN51)</f>
        <v>0</v>
      </c>
    </row>
    <row r="52" spans="1:119" s="189" customFormat="1" ht="12.75">
      <c r="A52" s="190" t="s">
        <v>10</v>
      </c>
      <c r="B52" s="185">
        <f>O52+AB52+AO52+BB52+BO52+CB52+CO52+DB52+DO52</f>
        <v>0</v>
      </c>
      <c r="C52" s="186"/>
      <c r="D52" s="186">
        <f aca="true" t="shared" si="146" ref="D52:N52">C55*$B48/12</f>
        <v>0</v>
      </c>
      <c r="E52" s="186">
        <f t="shared" si="146"/>
        <v>0</v>
      </c>
      <c r="F52" s="186">
        <f t="shared" si="146"/>
        <v>0</v>
      </c>
      <c r="G52" s="186">
        <f t="shared" si="146"/>
        <v>0</v>
      </c>
      <c r="H52" s="186">
        <f t="shared" si="146"/>
        <v>0</v>
      </c>
      <c r="I52" s="186">
        <f t="shared" si="146"/>
        <v>0</v>
      </c>
      <c r="J52" s="186">
        <f t="shared" si="146"/>
        <v>0</v>
      </c>
      <c r="K52" s="186">
        <f t="shared" si="146"/>
        <v>0</v>
      </c>
      <c r="L52" s="186">
        <f t="shared" si="146"/>
        <v>0</v>
      </c>
      <c r="M52" s="186">
        <f t="shared" si="146"/>
        <v>0</v>
      </c>
      <c r="N52" s="186">
        <f t="shared" si="146"/>
        <v>0</v>
      </c>
      <c r="O52" s="187">
        <f>SUM(C52:N52)</f>
        <v>0</v>
      </c>
      <c r="P52" s="186">
        <f aca="true" t="shared" si="147" ref="P52:AA52">O55*$B48/12</f>
        <v>0</v>
      </c>
      <c r="Q52" s="186">
        <f t="shared" si="147"/>
        <v>0</v>
      </c>
      <c r="R52" s="186">
        <f t="shared" si="147"/>
        <v>0</v>
      </c>
      <c r="S52" s="186">
        <f t="shared" si="147"/>
        <v>0</v>
      </c>
      <c r="T52" s="186">
        <f t="shared" si="147"/>
        <v>0</v>
      </c>
      <c r="U52" s="186">
        <f t="shared" si="147"/>
        <v>0</v>
      </c>
      <c r="V52" s="186">
        <f t="shared" si="147"/>
        <v>0</v>
      </c>
      <c r="W52" s="186">
        <f t="shared" si="147"/>
        <v>0</v>
      </c>
      <c r="X52" s="186">
        <f t="shared" si="147"/>
        <v>0</v>
      </c>
      <c r="Y52" s="186">
        <f t="shared" si="147"/>
        <v>0</v>
      </c>
      <c r="Z52" s="186">
        <f t="shared" si="147"/>
        <v>0</v>
      </c>
      <c r="AA52" s="186">
        <f t="shared" si="147"/>
        <v>0</v>
      </c>
      <c r="AB52" s="187">
        <f>SUM(P52:AA52)</f>
        <v>0</v>
      </c>
      <c r="AC52" s="186">
        <f aca="true" t="shared" si="148" ref="AC52:AN52">AB55*$B48/12</f>
        <v>0</v>
      </c>
      <c r="AD52" s="186">
        <f t="shared" si="148"/>
        <v>0</v>
      </c>
      <c r="AE52" s="186">
        <f t="shared" si="148"/>
        <v>0</v>
      </c>
      <c r="AF52" s="186">
        <f t="shared" si="148"/>
        <v>0</v>
      </c>
      <c r="AG52" s="186">
        <f t="shared" si="148"/>
        <v>0</v>
      </c>
      <c r="AH52" s="186">
        <f t="shared" si="148"/>
        <v>0</v>
      </c>
      <c r="AI52" s="186">
        <f t="shared" si="148"/>
        <v>0</v>
      </c>
      <c r="AJ52" s="186">
        <f t="shared" si="148"/>
        <v>0</v>
      </c>
      <c r="AK52" s="186">
        <f t="shared" si="148"/>
        <v>0</v>
      </c>
      <c r="AL52" s="186">
        <f t="shared" si="148"/>
        <v>0</v>
      </c>
      <c r="AM52" s="186">
        <f t="shared" si="148"/>
        <v>0</v>
      </c>
      <c r="AN52" s="186">
        <f t="shared" si="148"/>
        <v>0</v>
      </c>
      <c r="AO52" s="187">
        <f>SUM(AC52:AN52)</f>
        <v>0</v>
      </c>
      <c r="AP52" s="186">
        <f aca="true" t="shared" si="149" ref="AP52:BA52">AO55*$B48/12</f>
        <v>0</v>
      </c>
      <c r="AQ52" s="186">
        <f t="shared" si="149"/>
        <v>0</v>
      </c>
      <c r="AR52" s="186">
        <f t="shared" si="149"/>
        <v>0</v>
      </c>
      <c r="AS52" s="186">
        <f t="shared" si="149"/>
        <v>0</v>
      </c>
      <c r="AT52" s="186">
        <f t="shared" si="149"/>
        <v>0</v>
      </c>
      <c r="AU52" s="186">
        <f t="shared" si="149"/>
        <v>0</v>
      </c>
      <c r="AV52" s="186">
        <f t="shared" si="149"/>
        <v>0</v>
      </c>
      <c r="AW52" s="186">
        <f t="shared" si="149"/>
        <v>0</v>
      </c>
      <c r="AX52" s="186">
        <f t="shared" si="149"/>
        <v>0</v>
      </c>
      <c r="AY52" s="186">
        <f t="shared" si="149"/>
        <v>0</v>
      </c>
      <c r="AZ52" s="186">
        <f t="shared" si="149"/>
        <v>0</v>
      </c>
      <c r="BA52" s="186">
        <f t="shared" si="149"/>
        <v>0</v>
      </c>
      <c r="BB52" s="187">
        <f>SUM(AP52:BA52)</f>
        <v>0</v>
      </c>
      <c r="BC52" s="186">
        <f aca="true" t="shared" si="150" ref="BC52:BN52">BB55*$B48/12</f>
        <v>0</v>
      </c>
      <c r="BD52" s="186">
        <f t="shared" si="150"/>
        <v>0</v>
      </c>
      <c r="BE52" s="186">
        <f t="shared" si="150"/>
        <v>0</v>
      </c>
      <c r="BF52" s="186">
        <f t="shared" si="150"/>
        <v>0</v>
      </c>
      <c r="BG52" s="186">
        <f t="shared" si="150"/>
        <v>0</v>
      </c>
      <c r="BH52" s="186">
        <f t="shared" si="150"/>
        <v>0</v>
      </c>
      <c r="BI52" s="186">
        <f t="shared" si="150"/>
        <v>0</v>
      </c>
      <c r="BJ52" s="186">
        <f t="shared" si="150"/>
        <v>0</v>
      </c>
      <c r="BK52" s="186">
        <f t="shared" si="150"/>
        <v>0</v>
      </c>
      <c r="BL52" s="186">
        <f t="shared" si="150"/>
        <v>0</v>
      </c>
      <c r="BM52" s="186">
        <f t="shared" si="150"/>
        <v>0</v>
      </c>
      <c r="BN52" s="186">
        <f t="shared" si="150"/>
        <v>0</v>
      </c>
      <c r="BO52" s="187">
        <f>SUM(BC52:BN52)</f>
        <v>0</v>
      </c>
      <c r="BP52" s="186">
        <f aca="true" t="shared" si="151" ref="BP52:CA52">BO55*$B48/12</f>
        <v>0</v>
      </c>
      <c r="BQ52" s="186">
        <f t="shared" si="151"/>
        <v>0</v>
      </c>
      <c r="BR52" s="186">
        <f t="shared" si="151"/>
        <v>0</v>
      </c>
      <c r="BS52" s="186">
        <f t="shared" si="151"/>
        <v>0</v>
      </c>
      <c r="BT52" s="186">
        <f t="shared" si="151"/>
        <v>0</v>
      </c>
      <c r="BU52" s="186">
        <f t="shared" si="151"/>
        <v>0</v>
      </c>
      <c r="BV52" s="186">
        <f t="shared" si="151"/>
        <v>0</v>
      </c>
      <c r="BW52" s="186">
        <f t="shared" si="151"/>
        <v>0</v>
      </c>
      <c r="BX52" s="186">
        <f t="shared" si="151"/>
        <v>0</v>
      </c>
      <c r="BY52" s="186">
        <f t="shared" si="151"/>
        <v>0</v>
      </c>
      <c r="BZ52" s="186">
        <f t="shared" si="151"/>
        <v>0</v>
      </c>
      <c r="CA52" s="186">
        <f t="shared" si="151"/>
        <v>0</v>
      </c>
      <c r="CB52" s="187">
        <f>SUM(BP52:CA52)</f>
        <v>0</v>
      </c>
      <c r="CC52" s="186">
        <f aca="true" t="shared" si="152" ref="CC52:CN52">CB55*$B48/12</f>
        <v>0</v>
      </c>
      <c r="CD52" s="186">
        <f t="shared" si="152"/>
        <v>0</v>
      </c>
      <c r="CE52" s="186">
        <f t="shared" si="152"/>
        <v>0</v>
      </c>
      <c r="CF52" s="186">
        <f t="shared" si="152"/>
        <v>0</v>
      </c>
      <c r="CG52" s="186">
        <f t="shared" si="152"/>
        <v>0</v>
      </c>
      <c r="CH52" s="186">
        <f t="shared" si="152"/>
        <v>0</v>
      </c>
      <c r="CI52" s="186">
        <f t="shared" si="152"/>
        <v>0</v>
      </c>
      <c r="CJ52" s="186">
        <f t="shared" si="152"/>
        <v>0</v>
      </c>
      <c r="CK52" s="186">
        <f t="shared" si="152"/>
        <v>0</v>
      </c>
      <c r="CL52" s="186">
        <f t="shared" si="152"/>
        <v>0</v>
      </c>
      <c r="CM52" s="186">
        <f t="shared" si="152"/>
        <v>0</v>
      </c>
      <c r="CN52" s="186">
        <f t="shared" si="152"/>
        <v>0</v>
      </c>
      <c r="CO52" s="187">
        <f>SUM(CC52:CN52)</f>
        <v>0</v>
      </c>
      <c r="CP52" s="186">
        <f aca="true" t="shared" si="153" ref="CP52:DA52">CO55*$B48/12</f>
        <v>0</v>
      </c>
      <c r="CQ52" s="186">
        <f t="shared" si="153"/>
        <v>0</v>
      </c>
      <c r="CR52" s="186">
        <f t="shared" si="153"/>
        <v>0</v>
      </c>
      <c r="CS52" s="186">
        <f t="shared" si="153"/>
        <v>0</v>
      </c>
      <c r="CT52" s="186">
        <f t="shared" si="153"/>
        <v>0</v>
      </c>
      <c r="CU52" s="186">
        <f t="shared" si="153"/>
        <v>0</v>
      </c>
      <c r="CV52" s="186">
        <f t="shared" si="153"/>
        <v>0</v>
      </c>
      <c r="CW52" s="186">
        <f t="shared" si="153"/>
        <v>0</v>
      </c>
      <c r="CX52" s="186">
        <f t="shared" si="153"/>
        <v>0</v>
      </c>
      <c r="CY52" s="186">
        <f t="shared" si="153"/>
        <v>0</v>
      </c>
      <c r="CZ52" s="186">
        <f t="shared" si="153"/>
        <v>0</v>
      </c>
      <c r="DA52" s="186">
        <f t="shared" si="153"/>
        <v>0</v>
      </c>
      <c r="DB52" s="187">
        <f>SUM(CP52:DA52)</f>
        <v>0</v>
      </c>
      <c r="DC52" s="186">
        <f aca="true" t="shared" si="154" ref="DC52:DN52">DB55*$B48/12</f>
        <v>0</v>
      </c>
      <c r="DD52" s="186">
        <f t="shared" si="154"/>
        <v>0</v>
      </c>
      <c r="DE52" s="186">
        <f t="shared" si="154"/>
        <v>0</v>
      </c>
      <c r="DF52" s="186">
        <f t="shared" si="154"/>
        <v>0</v>
      </c>
      <c r="DG52" s="186">
        <f t="shared" si="154"/>
        <v>0</v>
      </c>
      <c r="DH52" s="186">
        <f t="shared" si="154"/>
        <v>0</v>
      </c>
      <c r="DI52" s="186">
        <f t="shared" si="154"/>
        <v>0</v>
      </c>
      <c r="DJ52" s="186">
        <f t="shared" si="154"/>
        <v>0</v>
      </c>
      <c r="DK52" s="186">
        <f t="shared" si="154"/>
        <v>0</v>
      </c>
      <c r="DL52" s="186">
        <f t="shared" si="154"/>
        <v>0</v>
      </c>
      <c r="DM52" s="186">
        <f t="shared" si="154"/>
        <v>0</v>
      </c>
      <c r="DN52" s="186">
        <f t="shared" si="154"/>
        <v>0</v>
      </c>
      <c r="DO52" s="187">
        <f>SUM(DC52:DN52)</f>
        <v>0</v>
      </c>
    </row>
    <row r="53" spans="1:119" ht="12.75">
      <c r="A53" s="180" t="s">
        <v>11</v>
      </c>
      <c r="B53" s="185">
        <f>O53+AB53+AO53+BB53+BO53+CB53+CO53+DB53+DO53</f>
        <v>0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91"/>
      <c r="N53" s="191"/>
      <c r="O53" s="187">
        <f>SUM(C53:N53)</f>
        <v>0</v>
      </c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86">
        <f>$B57-Z52</f>
        <v>0</v>
      </c>
      <c r="AA53" s="186">
        <f>$B57-AA52</f>
        <v>0</v>
      </c>
      <c r="AB53" s="187">
        <f>SUM(P53:AA53)</f>
        <v>0</v>
      </c>
      <c r="AC53" s="186">
        <f aca="true" t="shared" si="155" ref="AC53:AH53">$B57-AC52</f>
        <v>0</v>
      </c>
      <c r="AD53" s="186">
        <f t="shared" si="155"/>
        <v>0</v>
      </c>
      <c r="AE53" s="186">
        <f t="shared" si="155"/>
        <v>0</v>
      </c>
      <c r="AF53" s="186">
        <f t="shared" si="155"/>
        <v>0</v>
      </c>
      <c r="AG53" s="186">
        <f t="shared" si="155"/>
        <v>0</v>
      </c>
      <c r="AH53" s="186">
        <f t="shared" si="155"/>
        <v>0</v>
      </c>
      <c r="AI53" s="186">
        <f aca="true" t="shared" si="156" ref="AI53:AN53">$B57-AI52</f>
        <v>0</v>
      </c>
      <c r="AJ53" s="186">
        <f t="shared" si="156"/>
        <v>0</v>
      </c>
      <c r="AK53" s="186">
        <f t="shared" si="156"/>
        <v>0</v>
      </c>
      <c r="AL53" s="186">
        <f t="shared" si="156"/>
        <v>0</v>
      </c>
      <c r="AM53" s="186">
        <f t="shared" si="156"/>
        <v>0</v>
      </c>
      <c r="AN53" s="186">
        <f t="shared" si="156"/>
        <v>0</v>
      </c>
      <c r="AO53" s="187">
        <f>SUM(AC53:AN53)</f>
        <v>0</v>
      </c>
      <c r="AP53" s="186">
        <f aca="true" t="shared" si="157" ref="AP53:BA53">$B57-AP52</f>
        <v>0</v>
      </c>
      <c r="AQ53" s="186">
        <f t="shared" si="157"/>
        <v>0</v>
      </c>
      <c r="AR53" s="186">
        <f t="shared" si="157"/>
        <v>0</v>
      </c>
      <c r="AS53" s="186">
        <f t="shared" si="157"/>
        <v>0</v>
      </c>
      <c r="AT53" s="186">
        <f t="shared" si="157"/>
        <v>0</v>
      </c>
      <c r="AU53" s="186">
        <f t="shared" si="157"/>
        <v>0</v>
      </c>
      <c r="AV53" s="186">
        <f t="shared" si="157"/>
        <v>0</v>
      </c>
      <c r="AW53" s="186">
        <f t="shared" si="157"/>
        <v>0</v>
      </c>
      <c r="AX53" s="186">
        <f t="shared" si="157"/>
        <v>0</v>
      </c>
      <c r="AY53" s="186">
        <f t="shared" si="157"/>
        <v>0</v>
      </c>
      <c r="AZ53" s="186">
        <f t="shared" si="157"/>
        <v>0</v>
      </c>
      <c r="BA53" s="186">
        <f t="shared" si="157"/>
        <v>0</v>
      </c>
      <c r="BB53" s="187">
        <f>SUM(AP53:BA53)</f>
        <v>0</v>
      </c>
      <c r="BC53" s="186">
        <f aca="true" t="shared" si="158" ref="BC53:BN53">$B57-BC52</f>
        <v>0</v>
      </c>
      <c r="BD53" s="186">
        <f t="shared" si="158"/>
        <v>0</v>
      </c>
      <c r="BE53" s="186">
        <f t="shared" si="158"/>
        <v>0</v>
      </c>
      <c r="BF53" s="186">
        <f t="shared" si="158"/>
        <v>0</v>
      </c>
      <c r="BG53" s="186">
        <f t="shared" si="158"/>
        <v>0</v>
      </c>
      <c r="BH53" s="186">
        <f t="shared" si="158"/>
        <v>0</v>
      </c>
      <c r="BI53" s="186">
        <f t="shared" si="158"/>
        <v>0</v>
      </c>
      <c r="BJ53" s="186">
        <f t="shared" si="158"/>
        <v>0</v>
      </c>
      <c r="BK53" s="186">
        <f t="shared" si="158"/>
        <v>0</v>
      </c>
      <c r="BL53" s="186">
        <f t="shared" si="158"/>
        <v>0</v>
      </c>
      <c r="BM53" s="186">
        <f t="shared" si="158"/>
        <v>0</v>
      </c>
      <c r="BN53" s="186">
        <f t="shared" si="158"/>
        <v>0</v>
      </c>
      <c r="BO53" s="187">
        <f>SUM(BC53:BN53)</f>
        <v>0</v>
      </c>
      <c r="BP53" s="186">
        <f aca="true" t="shared" si="159" ref="BP53:CA53">$B57-BP52</f>
        <v>0</v>
      </c>
      <c r="BQ53" s="186">
        <f t="shared" si="159"/>
        <v>0</v>
      </c>
      <c r="BR53" s="186">
        <f t="shared" si="159"/>
        <v>0</v>
      </c>
      <c r="BS53" s="186">
        <f t="shared" si="159"/>
        <v>0</v>
      </c>
      <c r="BT53" s="186">
        <f t="shared" si="159"/>
        <v>0</v>
      </c>
      <c r="BU53" s="186">
        <f t="shared" si="159"/>
        <v>0</v>
      </c>
      <c r="BV53" s="186">
        <f t="shared" si="159"/>
        <v>0</v>
      </c>
      <c r="BW53" s="186">
        <f t="shared" si="159"/>
        <v>0</v>
      </c>
      <c r="BX53" s="186">
        <f t="shared" si="159"/>
        <v>0</v>
      </c>
      <c r="BY53" s="186">
        <f t="shared" si="159"/>
        <v>0</v>
      </c>
      <c r="BZ53" s="186">
        <f t="shared" si="159"/>
        <v>0</v>
      </c>
      <c r="CA53" s="186">
        <f t="shared" si="159"/>
        <v>0</v>
      </c>
      <c r="CB53" s="187">
        <f>SUM(BP53:CA53)</f>
        <v>0</v>
      </c>
      <c r="CC53" s="186">
        <f aca="true" t="shared" si="160" ref="CC53:CN53">$B57-CC52</f>
        <v>0</v>
      </c>
      <c r="CD53" s="186">
        <f t="shared" si="160"/>
        <v>0</v>
      </c>
      <c r="CE53" s="186">
        <f t="shared" si="160"/>
        <v>0</v>
      </c>
      <c r="CF53" s="186">
        <f t="shared" si="160"/>
        <v>0</v>
      </c>
      <c r="CG53" s="186">
        <f t="shared" si="160"/>
        <v>0</v>
      </c>
      <c r="CH53" s="186">
        <f t="shared" si="160"/>
        <v>0</v>
      </c>
      <c r="CI53" s="186">
        <f t="shared" si="160"/>
        <v>0</v>
      </c>
      <c r="CJ53" s="186">
        <f t="shared" si="160"/>
        <v>0</v>
      </c>
      <c r="CK53" s="186">
        <f t="shared" si="160"/>
        <v>0</v>
      </c>
      <c r="CL53" s="186">
        <f t="shared" si="160"/>
        <v>0</v>
      </c>
      <c r="CM53" s="186">
        <f t="shared" si="160"/>
        <v>0</v>
      </c>
      <c r="CN53" s="186">
        <f t="shared" si="160"/>
        <v>0</v>
      </c>
      <c r="CO53" s="187">
        <f>SUM(CC53:CN53)</f>
        <v>0</v>
      </c>
      <c r="CP53" s="186">
        <f aca="true" t="shared" si="161" ref="CP53:CY53">$B57-CP52</f>
        <v>0</v>
      </c>
      <c r="CQ53" s="186">
        <f t="shared" si="161"/>
        <v>0</v>
      </c>
      <c r="CR53" s="186">
        <f t="shared" si="161"/>
        <v>0</v>
      </c>
      <c r="CS53" s="186">
        <f t="shared" si="161"/>
        <v>0</v>
      </c>
      <c r="CT53" s="186">
        <f t="shared" si="161"/>
        <v>0</v>
      </c>
      <c r="CU53" s="186">
        <f t="shared" si="161"/>
        <v>0</v>
      </c>
      <c r="CV53" s="186">
        <f t="shared" si="161"/>
        <v>0</v>
      </c>
      <c r="CW53" s="186">
        <f t="shared" si="161"/>
        <v>0</v>
      </c>
      <c r="CX53" s="186">
        <f t="shared" si="161"/>
        <v>0</v>
      </c>
      <c r="CY53" s="186">
        <f t="shared" si="161"/>
        <v>0</v>
      </c>
      <c r="CZ53" s="186"/>
      <c r="DA53" s="186"/>
      <c r="DB53" s="187">
        <f>SUM(CP53:DA53)</f>
        <v>0</v>
      </c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7">
        <f>SUM(DC53:DN53)</f>
        <v>0</v>
      </c>
    </row>
    <row r="54" spans="1:119" ht="12.75">
      <c r="A54" s="180" t="s">
        <v>12</v>
      </c>
      <c r="B54" s="185">
        <f>O54+AB54+AO54+BB54+BO54+CB54+CO54+DB54+DO54</f>
        <v>0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91"/>
      <c r="N54" s="191"/>
      <c r="O54" s="187">
        <f>SUM(C54:N54)</f>
        <v>0</v>
      </c>
      <c r="P54" s="191"/>
      <c r="Q54" s="191"/>
      <c r="R54" s="191"/>
      <c r="S54" s="191"/>
      <c r="T54" s="186">
        <f aca="true" t="shared" si="162" ref="T54:AA54">T52</f>
        <v>0</v>
      </c>
      <c r="U54" s="186">
        <f t="shared" si="162"/>
        <v>0</v>
      </c>
      <c r="V54" s="186">
        <f t="shared" si="162"/>
        <v>0</v>
      </c>
      <c r="W54" s="186">
        <f t="shared" si="162"/>
        <v>0</v>
      </c>
      <c r="X54" s="186">
        <f t="shared" si="162"/>
        <v>0</v>
      </c>
      <c r="Y54" s="186">
        <f t="shared" si="162"/>
        <v>0</v>
      </c>
      <c r="Z54" s="186">
        <f t="shared" si="162"/>
        <v>0</v>
      </c>
      <c r="AA54" s="186">
        <f t="shared" si="162"/>
        <v>0</v>
      </c>
      <c r="AB54" s="187">
        <f>SUM(P54:AA54)</f>
        <v>0</v>
      </c>
      <c r="AC54" s="186">
        <f aca="true" t="shared" si="163" ref="AC54:AK54">AC52</f>
        <v>0</v>
      </c>
      <c r="AD54" s="186">
        <f t="shared" si="163"/>
        <v>0</v>
      </c>
      <c r="AE54" s="186">
        <f t="shared" si="163"/>
        <v>0</v>
      </c>
      <c r="AF54" s="186">
        <f t="shared" si="163"/>
        <v>0</v>
      </c>
      <c r="AG54" s="186">
        <f t="shared" si="163"/>
        <v>0</v>
      </c>
      <c r="AH54" s="186">
        <f t="shared" si="163"/>
        <v>0</v>
      </c>
      <c r="AI54" s="186">
        <f t="shared" si="163"/>
        <v>0</v>
      </c>
      <c r="AJ54" s="186">
        <f t="shared" si="163"/>
        <v>0</v>
      </c>
      <c r="AK54" s="186">
        <f t="shared" si="163"/>
        <v>0</v>
      </c>
      <c r="AL54" s="186">
        <f>AL52</f>
        <v>0</v>
      </c>
      <c r="AM54" s="186">
        <f>AM52</f>
        <v>0</v>
      </c>
      <c r="AN54" s="186">
        <f>AN52</f>
        <v>0</v>
      </c>
      <c r="AO54" s="187">
        <f>SUM(AC54:AN54)</f>
        <v>0</v>
      </c>
      <c r="AP54" s="186">
        <f aca="true" t="shared" si="164" ref="AP54:BA54">AP52</f>
        <v>0</v>
      </c>
      <c r="AQ54" s="186">
        <f t="shared" si="164"/>
        <v>0</v>
      </c>
      <c r="AR54" s="186">
        <f t="shared" si="164"/>
        <v>0</v>
      </c>
      <c r="AS54" s="186">
        <f t="shared" si="164"/>
        <v>0</v>
      </c>
      <c r="AT54" s="186">
        <f t="shared" si="164"/>
        <v>0</v>
      </c>
      <c r="AU54" s="186">
        <f t="shared" si="164"/>
        <v>0</v>
      </c>
      <c r="AV54" s="186">
        <f t="shared" si="164"/>
        <v>0</v>
      </c>
      <c r="AW54" s="186">
        <f t="shared" si="164"/>
        <v>0</v>
      </c>
      <c r="AX54" s="186">
        <f t="shared" si="164"/>
        <v>0</v>
      </c>
      <c r="AY54" s="186">
        <f t="shared" si="164"/>
        <v>0</v>
      </c>
      <c r="AZ54" s="186">
        <f t="shared" si="164"/>
        <v>0</v>
      </c>
      <c r="BA54" s="186">
        <f t="shared" si="164"/>
        <v>0</v>
      </c>
      <c r="BB54" s="187">
        <f>SUM(AP54:BA54)</f>
        <v>0</v>
      </c>
      <c r="BC54" s="186">
        <f aca="true" t="shared" si="165" ref="BC54:BN54">BC52</f>
        <v>0</v>
      </c>
      <c r="BD54" s="186">
        <f t="shared" si="165"/>
        <v>0</v>
      </c>
      <c r="BE54" s="186">
        <f t="shared" si="165"/>
        <v>0</v>
      </c>
      <c r="BF54" s="186">
        <f t="shared" si="165"/>
        <v>0</v>
      </c>
      <c r="BG54" s="186">
        <f t="shared" si="165"/>
        <v>0</v>
      </c>
      <c r="BH54" s="186">
        <f t="shared" si="165"/>
        <v>0</v>
      </c>
      <c r="BI54" s="186">
        <f t="shared" si="165"/>
        <v>0</v>
      </c>
      <c r="BJ54" s="186">
        <f t="shared" si="165"/>
        <v>0</v>
      </c>
      <c r="BK54" s="186">
        <f t="shared" si="165"/>
        <v>0</v>
      </c>
      <c r="BL54" s="186">
        <f t="shared" si="165"/>
        <v>0</v>
      </c>
      <c r="BM54" s="186">
        <f t="shared" si="165"/>
        <v>0</v>
      </c>
      <c r="BN54" s="186">
        <f t="shared" si="165"/>
        <v>0</v>
      </c>
      <c r="BO54" s="187">
        <f>SUM(BC54:BN54)</f>
        <v>0</v>
      </c>
      <c r="BP54" s="186">
        <f aca="true" t="shared" si="166" ref="BP54:CA54">BP52</f>
        <v>0</v>
      </c>
      <c r="BQ54" s="186">
        <f t="shared" si="166"/>
        <v>0</v>
      </c>
      <c r="BR54" s="186">
        <f t="shared" si="166"/>
        <v>0</v>
      </c>
      <c r="BS54" s="186">
        <f t="shared" si="166"/>
        <v>0</v>
      </c>
      <c r="BT54" s="186">
        <f t="shared" si="166"/>
        <v>0</v>
      </c>
      <c r="BU54" s="186">
        <f t="shared" si="166"/>
        <v>0</v>
      </c>
      <c r="BV54" s="186">
        <f t="shared" si="166"/>
        <v>0</v>
      </c>
      <c r="BW54" s="186">
        <f t="shared" si="166"/>
        <v>0</v>
      </c>
      <c r="BX54" s="186">
        <f t="shared" si="166"/>
        <v>0</v>
      </c>
      <c r="BY54" s="186">
        <f t="shared" si="166"/>
        <v>0</v>
      </c>
      <c r="BZ54" s="186">
        <f t="shared" si="166"/>
        <v>0</v>
      </c>
      <c r="CA54" s="186">
        <f t="shared" si="166"/>
        <v>0</v>
      </c>
      <c r="CB54" s="187">
        <f>SUM(BP54:CA54)</f>
        <v>0</v>
      </c>
      <c r="CC54" s="186">
        <f aca="true" t="shared" si="167" ref="CC54:CN54">CC52</f>
        <v>0</v>
      </c>
      <c r="CD54" s="186">
        <f t="shared" si="167"/>
        <v>0</v>
      </c>
      <c r="CE54" s="186">
        <f t="shared" si="167"/>
        <v>0</v>
      </c>
      <c r="CF54" s="186">
        <f t="shared" si="167"/>
        <v>0</v>
      </c>
      <c r="CG54" s="186">
        <f t="shared" si="167"/>
        <v>0</v>
      </c>
      <c r="CH54" s="186">
        <f t="shared" si="167"/>
        <v>0</v>
      </c>
      <c r="CI54" s="186">
        <f t="shared" si="167"/>
        <v>0</v>
      </c>
      <c r="CJ54" s="186">
        <f t="shared" si="167"/>
        <v>0</v>
      </c>
      <c r="CK54" s="186">
        <f t="shared" si="167"/>
        <v>0</v>
      </c>
      <c r="CL54" s="186">
        <f t="shared" si="167"/>
        <v>0</v>
      </c>
      <c r="CM54" s="186">
        <f t="shared" si="167"/>
        <v>0</v>
      </c>
      <c r="CN54" s="186">
        <f t="shared" si="167"/>
        <v>0</v>
      </c>
      <c r="CO54" s="187">
        <f>SUM(CC54:CN54)</f>
        <v>0</v>
      </c>
      <c r="CP54" s="186">
        <f aca="true" t="shared" si="168" ref="CP54:DA54">CP52</f>
        <v>0</v>
      </c>
      <c r="CQ54" s="186">
        <f t="shared" si="168"/>
        <v>0</v>
      </c>
      <c r="CR54" s="186">
        <f t="shared" si="168"/>
        <v>0</v>
      </c>
      <c r="CS54" s="186">
        <f t="shared" si="168"/>
        <v>0</v>
      </c>
      <c r="CT54" s="186">
        <f t="shared" si="168"/>
        <v>0</v>
      </c>
      <c r="CU54" s="186">
        <f t="shared" si="168"/>
        <v>0</v>
      </c>
      <c r="CV54" s="186">
        <f t="shared" si="168"/>
        <v>0</v>
      </c>
      <c r="CW54" s="186">
        <f t="shared" si="168"/>
        <v>0</v>
      </c>
      <c r="CX54" s="186">
        <f t="shared" si="168"/>
        <v>0</v>
      </c>
      <c r="CY54" s="186">
        <f t="shared" si="168"/>
        <v>0</v>
      </c>
      <c r="CZ54" s="186">
        <f t="shared" si="168"/>
        <v>0</v>
      </c>
      <c r="DA54" s="186">
        <f t="shared" si="168"/>
        <v>0</v>
      </c>
      <c r="DB54" s="187">
        <f>SUM(CP54:DA54)</f>
        <v>0</v>
      </c>
      <c r="DC54" s="186">
        <f aca="true" t="shared" si="169" ref="DC54:DN54">DC52</f>
        <v>0</v>
      </c>
      <c r="DD54" s="186">
        <f t="shared" si="169"/>
        <v>0</v>
      </c>
      <c r="DE54" s="186">
        <f t="shared" si="169"/>
        <v>0</v>
      </c>
      <c r="DF54" s="186">
        <f t="shared" si="169"/>
        <v>0</v>
      </c>
      <c r="DG54" s="186">
        <f t="shared" si="169"/>
        <v>0</v>
      </c>
      <c r="DH54" s="186">
        <f t="shared" si="169"/>
        <v>0</v>
      </c>
      <c r="DI54" s="186">
        <f t="shared" si="169"/>
        <v>0</v>
      </c>
      <c r="DJ54" s="186">
        <f t="shared" si="169"/>
        <v>0</v>
      </c>
      <c r="DK54" s="186">
        <f t="shared" si="169"/>
        <v>0</v>
      </c>
      <c r="DL54" s="186">
        <f t="shared" si="169"/>
        <v>0</v>
      </c>
      <c r="DM54" s="186">
        <f t="shared" si="169"/>
        <v>0</v>
      </c>
      <c r="DN54" s="186">
        <f t="shared" si="169"/>
        <v>0</v>
      </c>
      <c r="DO54" s="187">
        <f>SUM(DC54:DN54)</f>
        <v>0</v>
      </c>
    </row>
    <row r="55" spans="1:119" ht="12.75">
      <c r="A55" s="180" t="s">
        <v>13</v>
      </c>
      <c r="B55" s="185">
        <f>DO55</f>
        <v>0</v>
      </c>
      <c r="C55" s="186">
        <f>C50</f>
        <v>0</v>
      </c>
      <c r="D55" s="186">
        <f aca="true" t="shared" si="170" ref="D55:N55">C55+D50-D53+D51</f>
        <v>0</v>
      </c>
      <c r="E55" s="186">
        <f t="shared" si="170"/>
        <v>0</v>
      </c>
      <c r="F55" s="186">
        <f t="shared" si="170"/>
        <v>0</v>
      </c>
      <c r="G55" s="186">
        <f t="shared" si="170"/>
        <v>0</v>
      </c>
      <c r="H55" s="186">
        <f t="shared" si="170"/>
        <v>0</v>
      </c>
      <c r="I55" s="186">
        <f t="shared" si="170"/>
        <v>0</v>
      </c>
      <c r="J55" s="186">
        <f t="shared" si="170"/>
        <v>0</v>
      </c>
      <c r="K55" s="186">
        <f t="shared" si="170"/>
        <v>0</v>
      </c>
      <c r="L55" s="186">
        <f t="shared" si="170"/>
        <v>0</v>
      </c>
      <c r="M55" s="186">
        <f t="shared" si="170"/>
        <v>0</v>
      </c>
      <c r="N55" s="186">
        <f t="shared" si="170"/>
        <v>0</v>
      </c>
      <c r="O55" s="187">
        <f>N55</f>
        <v>0</v>
      </c>
      <c r="P55" s="186">
        <f aca="true" t="shared" si="171" ref="P55:AA55">O55+P50-P53+P51</f>
        <v>0</v>
      </c>
      <c r="Q55" s="186">
        <f t="shared" si="171"/>
        <v>0</v>
      </c>
      <c r="R55" s="186">
        <f t="shared" si="171"/>
        <v>0</v>
      </c>
      <c r="S55" s="186">
        <f t="shared" si="171"/>
        <v>0</v>
      </c>
      <c r="T55" s="186">
        <f t="shared" si="171"/>
        <v>0</v>
      </c>
      <c r="U55" s="186">
        <f t="shared" si="171"/>
        <v>0</v>
      </c>
      <c r="V55" s="186">
        <f t="shared" si="171"/>
        <v>0</v>
      </c>
      <c r="W55" s="186">
        <f t="shared" si="171"/>
        <v>0</v>
      </c>
      <c r="X55" s="186">
        <f t="shared" si="171"/>
        <v>0</v>
      </c>
      <c r="Y55" s="186">
        <f t="shared" si="171"/>
        <v>0</v>
      </c>
      <c r="Z55" s="186">
        <f t="shared" si="171"/>
        <v>0</v>
      </c>
      <c r="AA55" s="186">
        <f t="shared" si="171"/>
        <v>0</v>
      </c>
      <c r="AB55" s="187">
        <f>AA55</f>
        <v>0</v>
      </c>
      <c r="AC55" s="186">
        <f aca="true" t="shared" si="172" ref="AC55:AN55">AB55+AC50-AC53+AC51</f>
        <v>0</v>
      </c>
      <c r="AD55" s="186">
        <f t="shared" si="172"/>
        <v>0</v>
      </c>
      <c r="AE55" s="186">
        <f t="shared" si="172"/>
        <v>0</v>
      </c>
      <c r="AF55" s="186">
        <f t="shared" si="172"/>
        <v>0</v>
      </c>
      <c r="AG55" s="186">
        <f t="shared" si="172"/>
        <v>0</v>
      </c>
      <c r="AH55" s="186">
        <f t="shared" si="172"/>
        <v>0</v>
      </c>
      <c r="AI55" s="186">
        <f t="shared" si="172"/>
        <v>0</v>
      </c>
      <c r="AJ55" s="186">
        <f t="shared" si="172"/>
        <v>0</v>
      </c>
      <c r="AK55" s="186">
        <f t="shared" si="172"/>
        <v>0</v>
      </c>
      <c r="AL55" s="186">
        <f t="shared" si="172"/>
        <v>0</v>
      </c>
      <c r="AM55" s="186">
        <f t="shared" si="172"/>
        <v>0</v>
      </c>
      <c r="AN55" s="186">
        <f t="shared" si="172"/>
        <v>0</v>
      </c>
      <c r="AO55" s="187">
        <f>AN55</f>
        <v>0</v>
      </c>
      <c r="AP55" s="186">
        <f aca="true" t="shared" si="173" ref="AP55:BA55">AO55+AP50-AP53+AP51</f>
        <v>0</v>
      </c>
      <c r="AQ55" s="186">
        <f t="shared" si="173"/>
        <v>0</v>
      </c>
      <c r="AR55" s="186">
        <f t="shared" si="173"/>
        <v>0</v>
      </c>
      <c r="AS55" s="186">
        <f t="shared" si="173"/>
        <v>0</v>
      </c>
      <c r="AT55" s="186">
        <f t="shared" si="173"/>
        <v>0</v>
      </c>
      <c r="AU55" s="186">
        <f t="shared" si="173"/>
        <v>0</v>
      </c>
      <c r="AV55" s="186">
        <f t="shared" si="173"/>
        <v>0</v>
      </c>
      <c r="AW55" s="186">
        <f t="shared" si="173"/>
        <v>0</v>
      </c>
      <c r="AX55" s="186">
        <f t="shared" si="173"/>
        <v>0</v>
      </c>
      <c r="AY55" s="186">
        <f t="shared" si="173"/>
        <v>0</v>
      </c>
      <c r="AZ55" s="186">
        <f t="shared" si="173"/>
        <v>0</v>
      </c>
      <c r="BA55" s="186">
        <f t="shared" si="173"/>
        <v>0</v>
      </c>
      <c r="BB55" s="187">
        <f>BA55</f>
        <v>0</v>
      </c>
      <c r="BC55" s="186">
        <f aca="true" t="shared" si="174" ref="BC55:BN55">BB55+BC50-BC53+BC51</f>
        <v>0</v>
      </c>
      <c r="BD55" s="186">
        <f t="shared" si="174"/>
        <v>0</v>
      </c>
      <c r="BE55" s="186">
        <f t="shared" si="174"/>
        <v>0</v>
      </c>
      <c r="BF55" s="186">
        <f t="shared" si="174"/>
        <v>0</v>
      </c>
      <c r="BG55" s="186">
        <f t="shared" si="174"/>
        <v>0</v>
      </c>
      <c r="BH55" s="186">
        <f t="shared" si="174"/>
        <v>0</v>
      </c>
      <c r="BI55" s="186">
        <f t="shared" si="174"/>
        <v>0</v>
      </c>
      <c r="BJ55" s="186">
        <f t="shared" si="174"/>
        <v>0</v>
      </c>
      <c r="BK55" s="186">
        <f t="shared" si="174"/>
        <v>0</v>
      </c>
      <c r="BL55" s="186">
        <f t="shared" si="174"/>
        <v>0</v>
      </c>
      <c r="BM55" s="186">
        <f t="shared" si="174"/>
        <v>0</v>
      </c>
      <c r="BN55" s="186">
        <f t="shared" si="174"/>
        <v>0</v>
      </c>
      <c r="BO55" s="187">
        <f>BN55</f>
        <v>0</v>
      </c>
      <c r="BP55" s="186">
        <f aca="true" t="shared" si="175" ref="BP55:CA55">BO55+BP50-BP53+BP51</f>
        <v>0</v>
      </c>
      <c r="BQ55" s="186">
        <f t="shared" si="175"/>
        <v>0</v>
      </c>
      <c r="BR55" s="186">
        <f t="shared" si="175"/>
        <v>0</v>
      </c>
      <c r="BS55" s="186">
        <f t="shared" si="175"/>
        <v>0</v>
      </c>
      <c r="BT55" s="186">
        <f t="shared" si="175"/>
        <v>0</v>
      </c>
      <c r="BU55" s="186">
        <f t="shared" si="175"/>
        <v>0</v>
      </c>
      <c r="BV55" s="186">
        <f t="shared" si="175"/>
        <v>0</v>
      </c>
      <c r="BW55" s="186">
        <f t="shared" si="175"/>
        <v>0</v>
      </c>
      <c r="BX55" s="186">
        <f t="shared" si="175"/>
        <v>0</v>
      </c>
      <c r="BY55" s="186">
        <f t="shared" si="175"/>
        <v>0</v>
      </c>
      <c r="BZ55" s="186">
        <f t="shared" si="175"/>
        <v>0</v>
      </c>
      <c r="CA55" s="186">
        <f t="shared" si="175"/>
        <v>0</v>
      </c>
      <c r="CB55" s="187">
        <f>CA55</f>
        <v>0</v>
      </c>
      <c r="CC55" s="186">
        <f aca="true" t="shared" si="176" ref="CC55:CN55">CB55+CC50-CC53+CC51</f>
        <v>0</v>
      </c>
      <c r="CD55" s="186">
        <f t="shared" si="176"/>
        <v>0</v>
      </c>
      <c r="CE55" s="186">
        <f t="shared" si="176"/>
        <v>0</v>
      </c>
      <c r="CF55" s="186">
        <f t="shared" si="176"/>
        <v>0</v>
      </c>
      <c r="CG55" s="186">
        <f t="shared" si="176"/>
        <v>0</v>
      </c>
      <c r="CH55" s="186">
        <f t="shared" si="176"/>
        <v>0</v>
      </c>
      <c r="CI55" s="186">
        <f t="shared" si="176"/>
        <v>0</v>
      </c>
      <c r="CJ55" s="186">
        <f t="shared" si="176"/>
        <v>0</v>
      </c>
      <c r="CK55" s="186">
        <f t="shared" si="176"/>
        <v>0</v>
      </c>
      <c r="CL55" s="186">
        <f t="shared" si="176"/>
        <v>0</v>
      </c>
      <c r="CM55" s="186">
        <f t="shared" si="176"/>
        <v>0</v>
      </c>
      <c r="CN55" s="186">
        <f t="shared" si="176"/>
        <v>0</v>
      </c>
      <c r="CO55" s="187">
        <f>CN55</f>
        <v>0</v>
      </c>
      <c r="CP55" s="186">
        <f aca="true" t="shared" si="177" ref="CP55:DA55">CO55+CP50-CP53+CP51</f>
        <v>0</v>
      </c>
      <c r="CQ55" s="186">
        <f t="shared" si="177"/>
        <v>0</v>
      </c>
      <c r="CR55" s="186">
        <f t="shared" si="177"/>
        <v>0</v>
      </c>
      <c r="CS55" s="186">
        <f t="shared" si="177"/>
        <v>0</v>
      </c>
      <c r="CT55" s="186">
        <f t="shared" si="177"/>
        <v>0</v>
      </c>
      <c r="CU55" s="186">
        <f t="shared" si="177"/>
        <v>0</v>
      </c>
      <c r="CV55" s="186">
        <f t="shared" si="177"/>
        <v>0</v>
      </c>
      <c r="CW55" s="186">
        <f t="shared" si="177"/>
        <v>0</v>
      </c>
      <c r="CX55" s="186">
        <f t="shared" si="177"/>
        <v>0</v>
      </c>
      <c r="CY55" s="186">
        <f t="shared" si="177"/>
        <v>0</v>
      </c>
      <c r="CZ55" s="186">
        <f t="shared" si="177"/>
        <v>0</v>
      </c>
      <c r="DA55" s="186">
        <f t="shared" si="177"/>
        <v>0</v>
      </c>
      <c r="DB55" s="187">
        <f>DA55</f>
        <v>0</v>
      </c>
      <c r="DC55" s="186">
        <f aca="true" t="shared" si="178" ref="DC55:DN55">DB55+DC50-DC53+DC51</f>
        <v>0</v>
      </c>
      <c r="DD55" s="186">
        <f t="shared" si="178"/>
        <v>0</v>
      </c>
      <c r="DE55" s="186">
        <f t="shared" si="178"/>
        <v>0</v>
      </c>
      <c r="DF55" s="186">
        <f t="shared" si="178"/>
        <v>0</v>
      </c>
      <c r="DG55" s="186">
        <f t="shared" si="178"/>
        <v>0</v>
      </c>
      <c r="DH55" s="186">
        <f t="shared" si="178"/>
        <v>0</v>
      </c>
      <c r="DI55" s="186">
        <f t="shared" si="178"/>
        <v>0</v>
      </c>
      <c r="DJ55" s="186">
        <f t="shared" si="178"/>
        <v>0</v>
      </c>
      <c r="DK55" s="186">
        <f t="shared" si="178"/>
        <v>0</v>
      </c>
      <c r="DL55" s="186">
        <f t="shared" si="178"/>
        <v>0</v>
      </c>
      <c r="DM55" s="186">
        <f t="shared" si="178"/>
        <v>0</v>
      </c>
      <c r="DN55" s="186">
        <f t="shared" si="178"/>
        <v>0</v>
      </c>
      <c r="DO55" s="187">
        <f>DN55</f>
        <v>0</v>
      </c>
    </row>
    <row r="56" spans="1:119" ht="12.75">
      <c r="A56" s="172" t="s">
        <v>70</v>
      </c>
      <c r="B56" s="283">
        <f>B41</f>
        <v>33</v>
      </c>
      <c r="CP56" s="175"/>
      <c r="DB56" s="172"/>
      <c r="DO56" s="172"/>
    </row>
    <row r="57" spans="1:119" ht="12.75">
      <c r="A57" s="284" t="s">
        <v>210</v>
      </c>
      <c r="B57" s="285">
        <f>$S$55*$B48/12/((1-(1+$B48/12)^-$B56))</f>
        <v>0</v>
      </c>
      <c r="DB57" s="172"/>
      <c r="DO57" s="172"/>
    </row>
    <row r="59" ht="12.75">
      <c r="A59" s="193">
        <f>B52-B51-B54</f>
        <v>0</v>
      </c>
    </row>
    <row r="60" ht="12.75">
      <c r="A60" s="193">
        <f>B50+B51-B53-B55</f>
        <v>0</v>
      </c>
    </row>
  </sheetData>
  <sheetProtection/>
  <mergeCells count="36">
    <mergeCell ref="BP18:CB18"/>
    <mergeCell ref="DC5:DO5"/>
    <mergeCell ref="CP5:DB5"/>
    <mergeCell ref="CC5:CO5"/>
    <mergeCell ref="C5:O5"/>
    <mergeCell ref="P5:AB5"/>
    <mergeCell ref="AC5:AO5"/>
    <mergeCell ref="AP5:BB5"/>
    <mergeCell ref="BC5:BO5"/>
    <mergeCell ref="BP5:CB5"/>
    <mergeCell ref="CC48:CO48"/>
    <mergeCell ref="AC33:AO33"/>
    <mergeCell ref="AP33:BB33"/>
    <mergeCell ref="BC33:BO33"/>
    <mergeCell ref="BP33:CB33"/>
    <mergeCell ref="C18:O18"/>
    <mergeCell ref="P18:AB18"/>
    <mergeCell ref="AC18:AO18"/>
    <mergeCell ref="AP18:BB18"/>
    <mergeCell ref="BC18:BO18"/>
    <mergeCell ref="BC48:BO48"/>
    <mergeCell ref="BP48:CB48"/>
    <mergeCell ref="CC18:CO18"/>
    <mergeCell ref="CP18:DB18"/>
    <mergeCell ref="DC18:DO18"/>
    <mergeCell ref="CP48:DB48"/>
    <mergeCell ref="DC48:DO48"/>
    <mergeCell ref="CC33:CO33"/>
    <mergeCell ref="CP33:DB33"/>
    <mergeCell ref="DC33:DO33"/>
    <mergeCell ref="C33:O33"/>
    <mergeCell ref="P33:AB33"/>
    <mergeCell ref="C48:O48"/>
    <mergeCell ref="P48:AB48"/>
    <mergeCell ref="AC48:AO48"/>
    <mergeCell ref="AP48:BB48"/>
  </mergeCells>
  <printOptions/>
  <pageMargins left="0.35433070866141736" right="0.1968503937007874" top="0.55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25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H17" sqref="H17"/>
    </sheetView>
  </sheetViews>
  <sheetFormatPr defaultColWidth="8.875" defaultRowHeight="12.75" outlineLevelRow="1" outlineLevelCol="1"/>
  <cols>
    <col min="1" max="1" width="36.875" style="76" customWidth="1"/>
    <col min="2" max="2" width="8.625" style="76" customWidth="1"/>
    <col min="3" max="3" width="9.00390625" style="76" customWidth="1"/>
    <col min="4" max="4" width="9.625" style="76" customWidth="1"/>
    <col min="5" max="5" width="7.625" style="76" customWidth="1" outlineLevel="1"/>
    <col min="6" max="6" width="6.25390625" style="76" customWidth="1" outlineLevel="1"/>
    <col min="7" max="7" width="4.25390625" style="76" customWidth="1" outlineLevel="1"/>
    <col min="8" max="8" width="5.125" style="76" customWidth="1" outlineLevel="1"/>
    <col min="9" max="9" width="5.625" style="76" customWidth="1" outlineLevel="1"/>
    <col min="10" max="10" width="5.125" style="76" customWidth="1" outlineLevel="1"/>
    <col min="11" max="11" width="5.75390625" style="76" customWidth="1" outlineLevel="1"/>
    <col min="12" max="15" width="6.625" style="76" customWidth="1" outlineLevel="1"/>
    <col min="16" max="16" width="7.125" style="76" customWidth="1" outlineLevel="1"/>
    <col min="17" max="17" width="10.125" style="76" customWidth="1"/>
    <col min="18" max="18" width="5.625" style="76" hidden="1" customWidth="1" outlineLevel="1"/>
    <col min="19" max="19" width="6.25390625" style="76" hidden="1" customWidth="1" outlineLevel="1"/>
    <col min="20" max="20" width="5.875" style="76" hidden="1" customWidth="1" outlineLevel="1"/>
    <col min="21" max="21" width="5.75390625" style="76" hidden="1" customWidth="1" outlineLevel="1"/>
    <col min="22" max="22" width="5.875" style="76" hidden="1" customWidth="1" outlineLevel="1"/>
    <col min="23" max="23" width="6.375" style="76" hidden="1" customWidth="1" outlineLevel="1"/>
    <col min="24" max="24" width="6.75390625" style="76" hidden="1" customWidth="1" outlineLevel="1"/>
    <col min="25" max="26" width="5.125" style="76" hidden="1" customWidth="1" outlineLevel="1"/>
    <col min="27" max="27" width="6.00390625" style="76" hidden="1" customWidth="1" outlineLevel="1"/>
    <col min="28" max="28" width="6.625" style="76" hidden="1" customWidth="1" outlineLevel="1"/>
    <col min="29" max="29" width="7.125" style="76" hidden="1" customWidth="1" outlineLevel="1"/>
    <col min="30" max="30" width="10.125" style="76" hidden="1" customWidth="1" outlineLevel="1"/>
    <col min="31" max="31" width="13.00390625" style="76" customWidth="1" collapsed="1"/>
    <col min="32" max="32" width="16.00390625" style="76" customWidth="1"/>
    <col min="33" max="33" width="12.875" style="76" bestFit="1" customWidth="1"/>
    <col min="34" max="16384" width="8.875" style="76" customWidth="1"/>
  </cols>
  <sheetData>
    <row r="1" ht="12.75">
      <c r="A1" s="60" t="s">
        <v>204</v>
      </c>
    </row>
    <row r="2" spans="2:32" ht="12.75">
      <c r="B2" s="168"/>
      <c r="Q2" s="144" t="str">
        <f>Исх!$C$11</f>
        <v>тыс.тг.</v>
      </c>
      <c r="AD2" s="144" t="s">
        <v>51</v>
      </c>
      <c r="AE2" s="194"/>
      <c r="AF2" s="166"/>
    </row>
    <row r="3" spans="1:32" ht="17.25" customHeight="1">
      <c r="A3" s="347" t="s">
        <v>169</v>
      </c>
      <c r="B3" s="348" t="s">
        <v>145</v>
      </c>
      <c r="C3" s="348" t="s">
        <v>146</v>
      </c>
      <c r="D3" s="349" t="s">
        <v>144</v>
      </c>
      <c r="E3" s="344">
        <v>2013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6"/>
      <c r="Q3" s="89" t="s">
        <v>0</v>
      </c>
      <c r="R3" s="344">
        <v>2014</v>
      </c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6"/>
      <c r="AD3" s="89" t="s">
        <v>0</v>
      </c>
      <c r="AE3" s="194"/>
      <c r="AF3" s="195"/>
    </row>
    <row r="4" spans="1:30" ht="12.75">
      <c r="A4" s="347"/>
      <c r="B4" s="348"/>
      <c r="C4" s="348"/>
      <c r="D4" s="349"/>
      <c r="E4" s="196">
        <v>1</v>
      </c>
      <c r="F4" s="196">
        <v>2</v>
      </c>
      <c r="G4" s="196">
        <v>3</v>
      </c>
      <c r="H4" s="196">
        <v>4</v>
      </c>
      <c r="I4" s="196">
        <v>5</v>
      </c>
      <c r="J4" s="196">
        <v>6</v>
      </c>
      <c r="K4" s="196">
        <v>7</v>
      </c>
      <c r="L4" s="196">
        <v>8</v>
      </c>
      <c r="M4" s="196">
        <v>9</v>
      </c>
      <c r="N4" s="196">
        <v>10</v>
      </c>
      <c r="O4" s="196">
        <v>11</v>
      </c>
      <c r="P4" s="196">
        <v>12</v>
      </c>
      <c r="Q4" s="91">
        <v>2013</v>
      </c>
      <c r="R4" s="196">
        <v>1</v>
      </c>
      <c r="S4" s="196">
        <v>2</v>
      </c>
      <c r="T4" s="196">
        <v>3</v>
      </c>
      <c r="U4" s="196">
        <v>4</v>
      </c>
      <c r="V4" s="196">
        <v>5</v>
      </c>
      <c r="W4" s="196">
        <v>6</v>
      </c>
      <c r="X4" s="196">
        <v>7</v>
      </c>
      <c r="Y4" s="196">
        <v>8</v>
      </c>
      <c r="Z4" s="196">
        <v>9</v>
      </c>
      <c r="AA4" s="196">
        <v>10</v>
      </c>
      <c r="AB4" s="196">
        <v>11</v>
      </c>
      <c r="AC4" s="196">
        <v>12</v>
      </c>
      <c r="AD4" s="91">
        <v>2014</v>
      </c>
    </row>
    <row r="5" spans="1:32" s="60" customFormat="1" ht="12.75">
      <c r="A5" s="197" t="s">
        <v>168</v>
      </c>
      <c r="B5" s="198"/>
      <c r="C5" s="198"/>
      <c r="D5" s="141">
        <f aca="true" t="shared" si="0" ref="D5:AD5">SUM(D6:D7)</f>
        <v>0</v>
      </c>
      <c r="E5" s="141">
        <f t="shared" si="0"/>
        <v>0</v>
      </c>
      <c r="F5" s="141">
        <f t="shared" si="0"/>
        <v>0</v>
      </c>
      <c r="G5" s="141">
        <f t="shared" si="0"/>
        <v>0</v>
      </c>
      <c r="H5" s="141">
        <f t="shared" si="0"/>
        <v>0</v>
      </c>
      <c r="I5" s="141">
        <f t="shared" si="0"/>
        <v>0</v>
      </c>
      <c r="J5" s="141">
        <f t="shared" si="0"/>
        <v>0</v>
      </c>
      <c r="K5" s="141">
        <f t="shared" si="0"/>
        <v>0</v>
      </c>
      <c r="L5" s="141">
        <f t="shared" si="0"/>
        <v>0</v>
      </c>
      <c r="M5" s="141">
        <f t="shared" si="0"/>
        <v>0</v>
      </c>
      <c r="N5" s="141">
        <f t="shared" si="0"/>
        <v>0</v>
      </c>
      <c r="O5" s="141">
        <f t="shared" si="0"/>
        <v>0</v>
      </c>
      <c r="P5" s="141">
        <f t="shared" si="0"/>
        <v>0</v>
      </c>
      <c r="Q5" s="141">
        <f t="shared" si="0"/>
        <v>0</v>
      </c>
      <c r="R5" s="141">
        <f t="shared" si="0"/>
        <v>0</v>
      </c>
      <c r="S5" s="141">
        <f t="shared" si="0"/>
        <v>0</v>
      </c>
      <c r="T5" s="141">
        <f t="shared" si="0"/>
        <v>0</v>
      </c>
      <c r="U5" s="141">
        <f t="shared" si="0"/>
        <v>0</v>
      </c>
      <c r="V5" s="141">
        <f t="shared" si="0"/>
        <v>0</v>
      </c>
      <c r="W5" s="141">
        <f t="shared" si="0"/>
        <v>0</v>
      </c>
      <c r="X5" s="141">
        <f t="shared" si="0"/>
        <v>0</v>
      </c>
      <c r="Y5" s="141">
        <f t="shared" si="0"/>
        <v>0</v>
      </c>
      <c r="Z5" s="141">
        <f t="shared" si="0"/>
        <v>0</v>
      </c>
      <c r="AA5" s="141">
        <f t="shared" si="0"/>
        <v>0</v>
      </c>
      <c r="AB5" s="141">
        <f t="shared" si="0"/>
        <v>0</v>
      </c>
      <c r="AC5" s="141">
        <f t="shared" si="0"/>
        <v>0</v>
      </c>
      <c r="AD5" s="141">
        <f t="shared" si="0"/>
        <v>0</v>
      </c>
      <c r="AF5" s="76"/>
    </row>
    <row r="6" spans="1:30" ht="12.75" outlineLevel="1">
      <c r="A6" s="199"/>
      <c r="B6" s="44"/>
      <c r="C6" s="44"/>
      <c r="D6" s="148">
        <f>B6*C6</f>
        <v>0</v>
      </c>
      <c r="E6" s="143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>
        <f>SUM(E6:P6)</f>
        <v>0</v>
      </c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9">
        <f>SUM(R6:AC6)</f>
        <v>0</v>
      </c>
    </row>
    <row r="7" spans="1:30" ht="12.75" hidden="1" outlineLevel="1">
      <c r="A7" s="199"/>
      <c r="B7" s="235"/>
      <c r="C7" s="235"/>
      <c r="D7" s="148">
        <f>B7*C7</f>
        <v>0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>
        <f>SUM(E7:P7)</f>
        <v>0</v>
      </c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9">
        <f>SUM(R7:AC7)</f>
        <v>0</v>
      </c>
    </row>
    <row r="8" spans="1:30" ht="12.75" collapsed="1">
      <c r="A8" s="197" t="s">
        <v>97</v>
      </c>
      <c r="B8" s="198"/>
      <c r="C8" s="198"/>
      <c r="D8" s="141">
        <f aca="true" t="shared" si="1" ref="D8:AD8">SUM(D9:D11)</f>
        <v>681</v>
      </c>
      <c r="E8" s="141">
        <f t="shared" si="1"/>
        <v>0</v>
      </c>
      <c r="F8" s="141">
        <f t="shared" si="1"/>
        <v>0</v>
      </c>
      <c r="G8" s="141">
        <f t="shared" si="1"/>
        <v>0</v>
      </c>
      <c r="H8" s="141">
        <f t="shared" si="1"/>
        <v>0</v>
      </c>
      <c r="I8" s="141">
        <f t="shared" si="1"/>
        <v>0</v>
      </c>
      <c r="J8" s="141">
        <f t="shared" si="1"/>
        <v>0</v>
      </c>
      <c r="K8" s="141">
        <f t="shared" si="1"/>
        <v>0</v>
      </c>
      <c r="L8" s="141">
        <f t="shared" si="1"/>
        <v>0</v>
      </c>
      <c r="M8" s="141">
        <f t="shared" si="1"/>
        <v>0</v>
      </c>
      <c r="N8" s="141">
        <f t="shared" si="1"/>
        <v>681</v>
      </c>
      <c r="O8" s="141">
        <f t="shared" si="1"/>
        <v>0</v>
      </c>
      <c r="P8" s="141">
        <f t="shared" si="1"/>
        <v>0</v>
      </c>
      <c r="Q8" s="141">
        <f t="shared" si="1"/>
        <v>681</v>
      </c>
      <c r="R8" s="141">
        <f t="shared" si="1"/>
        <v>0</v>
      </c>
      <c r="S8" s="141">
        <f t="shared" si="1"/>
        <v>0</v>
      </c>
      <c r="T8" s="141">
        <f t="shared" si="1"/>
        <v>0</v>
      </c>
      <c r="U8" s="141">
        <f t="shared" si="1"/>
        <v>0</v>
      </c>
      <c r="V8" s="141">
        <f t="shared" si="1"/>
        <v>0</v>
      </c>
      <c r="W8" s="141">
        <f t="shared" si="1"/>
        <v>0</v>
      </c>
      <c r="X8" s="141">
        <f t="shared" si="1"/>
        <v>0</v>
      </c>
      <c r="Y8" s="141">
        <f t="shared" si="1"/>
        <v>0</v>
      </c>
      <c r="Z8" s="141">
        <f t="shared" si="1"/>
        <v>0</v>
      </c>
      <c r="AA8" s="141">
        <f t="shared" si="1"/>
        <v>0</v>
      </c>
      <c r="AB8" s="141">
        <f t="shared" si="1"/>
        <v>0</v>
      </c>
      <c r="AC8" s="141">
        <f t="shared" si="1"/>
        <v>0</v>
      </c>
      <c r="AD8" s="141">
        <f t="shared" si="1"/>
        <v>0</v>
      </c>
    </row>
    <row r="9" spans="1:30" ht="12.75" outlineLevel="1">
      <c r="A9" s="200" t="s">
        <v>263</v>
      </c>
      <c r="B9" s="142">
        <f>12*12</f>
        <v>144</v>
      </c>
      <c r="C9" s="142">
        <v>4</v>
      </c>
      <c r="D9" s="148">
        <f>B9*C9</f>
        <v>576</v>
      </c>
      <c r="E9" s="148"/>
      <c r="F9" s="148"/>
      <c r="G9" s="148"/>
      <c r="H9" s="148"/>
      <c r="I9" s="148"/>
      <c r="J9" s="148"/>
      <c r="K9" s="148"/>
      <c r="L9" s="148"/>
      <c r="M9" s="148"/>
      <c r="N9" s="148">
        <f>D9</f>
        <v>576</v>
      </c>
      <c r="O9" s="148"/>
      <c r="P9" s="148"/>
      <c r="Q9" s="149">
        <f>SUM(E9:P9)</f>
        <v>576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9">
        <f>SUM(R9:AC9)</f>
        <v>0</v>
      </c>
    </row>
    <row r="10" spans="1:30" ht="12.75" outlineLevel="1">
      <c r="A10" s="256" t="s">
        <v>262</v>
      </c>
      <c r="B10" s="142">
        <v>15</v>
      </c>
      <c r="C10" s="142">
        <v>7</v>
      </c>
      <c r="D10" s="148">
        <f>B10*C10</f>
        <v>105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>
        <f>D10</f>
        <v>105</v>
      </c>
      <c r="O10" s="148"/>
      <c r="P10" s="148"/>
      <c r="Q10" s="149">
        <f>SUM(E10:P10)</f>
        <v>105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>
        <f>SUM(R10:AC10)</f>
        <v>0</v>
      </c>
    </row>
    <row r="11" spans="1:33" ht="12.75" hidden="1" outlineLevel="1">
      <c r="A11" s="200"/>
      <c r="B11" s="142"/>
      <c r="C11" s="142"/>
      <c r="D11" s="148">
        <f>B11*C11</f>
        <v>0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>
        <f>D11</f>
        <v>0</v>
      </c>
      <c r="O11" s="148"/>
      <c r="P11" s="148"/>
      <c r="Q11" s="149">
        <f>SUM(E11:P11)</f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9">
        <f>SUM(R11:AC11)</f>
        <v>0</v>
      </c>
      <c r="AG11" s="76" t="s">
        <v>258</v>
      </c>
    </row>
    <row r="12" spans="1:30" ht="12.75" collapsed="1">
      <c r="A12" s="197" t="s">
        <v>191</v>
      </c>
      <c r="B12" s="198"/>
      <c r="C12" s="198"/>
      <c r="D12" s="141">
        <f aca="true" t="shared" si="2" ref="D12:AD12">SUM(D13:D14)</f>
        <v>24</v>
      </c>
      <c r="E12" s="141">
        <f t="shared" si="2"/>
        <v>0</v>
      </c>
      <c r="F12" s="141">
        <f t="shared" si="2"/>
        <v>0</v>
      </c>
      <c r="G12" s="141">
        <f t="shared" si="2"/>
        <v>0</v>
      </c>
      <c r="H12" s="141">
        <f t="shared" si="2"/>
        <v>0</v>
      </c>
      <c r="I12" s="141">
        <f t="shared" si="2"/>
        <v>0</v>
      </c>
      <c r="J12" s="141">
        <f t="shared" si="2"/>
        <v>0</v>
      </c>
      <c r="K12" s="141">
        <f t="shared" si="2"/>
        <v>0</v>
      </c>
      <c r="L12" s="141">
        <f t="shared" si="2"/>
        <v>0</v>
      </c>
      <c r="M12" s="141">
        <f t="shared" si="2"/>
        <v>0</v>
      </c>
      <c r="N12" s="141">
        <f t="shared" si="2"/>
        <v>24</v>
      </c>
      <c r="O12" s="141">
        <f t="shared" si="2"/>
        <v>0</v>
      </c>
      <c r="P12" s="141">
        <f t="shared" si="2"/>
        <v>0</v>
      </c>
      <c r="Q12" s="141">
        <f t="shared" si="2"/>
        <v>24</v>
      </c>
      <c r="R12" s="141">
        <f t="shared" si="2"/>
        <v>0</v>
      </c>
      <c r="S12" s="141">
        <f t="shared" si="2"/>
        <v>0</v>
      </c>
      <c r="T12" s="141">
        <f t="shared" si="2"/>
        <v>0</v>
      </c>
      <c r="U12" s="141">
        <f t="shared" si="2"/>
        <v>0</v>
      </c>
      <c r="V12" s="141">
        <f t="shared" si="2"/>
        <v>0</v>
      </c>
      <c r="W12" s="141">
        <f t="shared" si="2"/>
        <v>0</v>
      </c>
      <c r="X12" s="141">
        <f t="shared" si="2"/>
        <v>0</v>
      </c>
      <c r="Y12" s="141">
        <f t="shared" si="2"/>
        <v>0</v>
      </c>
      <c r="Z12" s="141">
        <f t="shared" si="2"/>
        <v>0</v>
      </c>
      <c r="AA12" s="141">
        <f t="shared" si="2"/>
        <v>0</v>
      </c>
      <c r="AB12" s="141">
        <f t="shared" si="2"/>
        <v>0</v>
      </c>
      <c r="AC12" s="141">
        <f t="shared" si="2"/>
        <v>0</v>
      </c>
      <c r="AD12" s="141">
        <f t="shared" si="2"/>
        <v>0</v>
      </c>
    </row>
    <row r="13" spans="1:30" ht="12.75" outlineLevel="1">
      <c r="A13" s="200" t="s">
        <v>257</v>
      </c>
      <c r="B13" s="142">
        <v>1</v>
      </c>
      <c r="C13" s="142">
        <v>24</v>
      </c>
      <c r="D13" s="148">
        <f>B13*C13</f>
        <v>24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>
        <f>D13</f>
        <v>24</v>
      </c>
      <c r="O13" s="148"/>
      <c r="P13" s="148"/>
      <c r="Q13" s="149">
        <f>SUM(E13:P13)</f>
        <v>24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9">
        <f>SUM(R13:AC13)</f>
        <v>0</v>
      </c>
    </row>
    <row r="14" spans="1:30" ht="12.75" hidden="1" outlineLevel="1">
      <c r="A14" s="200"/>
      <c r="B14" s="142"/>
      <c r="C14" s="142"/>
      <c r="D14" s="148">
        <f>B14*C14</f>
        <v>0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9">
        <f>SUM(E14:P14)</f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9">
        <f>SUM(R14:AC14)</f>
        <v>0</v>
      </c>
    </row>
    <row r="15" spans="1:30" ht="12.75" collapsed="1">
      <c r="A15" s="138" t="s">
        <v>0</v>
      </c>
      <c r="B15" s="162"/>
      <c r="C15" s="162"/>
      <c r="D15" s="162">
        <f aca="true" t="shared" si="3" ref="D15:AD15">D5+D8+D12</f>
        <v>705</v>
      </c>
      <c r="E15" s="162">
        <f t="shared" si="3"/>
        <v>0</v>
      </c>
      <c r="F15" s="162">
        <f t="shared" si="3"/>
        <v>0</v>
      </c>
      <c r="G15" s="162">
        <f t="shared" si="3"/>
        <v>0</v>
      </c>
      <c r="H15" s="162">
        <f t="shared" si="3"/>
        <v>0</v>
      </c>
      <c r="I15" s="162">
        <f t="shared" si="3"/>
        <v>0</v>
      </c>
      <c r="J15" s="162">
        <f t="shared" si="3"/>
        <v>0</v>
      </c>
      <c r="K15" s="162">
        <f t="shared" si="3"/>
        <v>0</v>
      </c>
      <c r="L15" s="162">
        <f t="shared" si="3"/>
        <v>0</v>
      </c>
      <c r="M15" s="162">
        <f t="shared" si="3"/>
        <v>0</v>
      </c>
      <c r="N15" s="162">
        <f t="shared" si="3"/>
        <v>705</v>
      </c>
      <c r="O15" s="162">
        <f t="shared" si="3"/>
        <v>0</v>
      </c>
      <c r="P15" s="162">
        <f t="shared" si="3"/>
        <v>0</v>
      </c>
      <c r="Q15" s="162">
        <f t="shared" si="3"/>
        <v>705</v>
      </c>
      <c r="R15" s="162">
        <f t="shared" si="3"/>
        <v>0</v>
      </c>
      <c r="S15" s="162">
        <f t="shared" si="3"/>
        <v>0</v>
      </c>
      <c r="T15" s="162">
        <f t="shared" si="3"/>
        <v>0</v>
      </c>
      <c r="U15" s="162">
        <f t="shared" si="3"/>
        <v>0</v>
      </c>
      <c r="V15" s="162">
        <f t="shared" si="3"/>
        <v>0</v>
      </c>
      <c r="W15" s="162">
        <f t="shared" si="3"/>
        <v>0</v>
      </c>
      <c r="X15" s="162">
        <f t="shared" si="3"/>
        <v>0</v>
      </c>
      <c r="Y15" s="162">
        <f t="shared" si="3"/>
        <v>0</v>
      </c>
      <c r="Z15" s="162">
        <f t="shared" si="3"/>
        <v>0</v>
      </c>
      <c r="AA15" s="162">
        <f t="shared" si="3"/>
        <v>0</v>
      </c>
      <c r="AB15" s="162">
        <f t="shared" si="3"/>
        <v>0</v>
      </c>
      <c r="AC15" s="162">
        <f t="shared" si="3"/>
        <v>0</v>
      </c>
      <c r="AD15" s="162">
        <f t="shared" si="3"/>
        <v>0</v>
      </c>
    </row>
    <row r="16" ht="12.75">
      <c r="D16" s="194">
        <f>D15-Q15-AD15</f>
        <v>0</v>
      </c>
    </row>
    <row r="17" spans="2:4" ht="12.75">
      <c r="B17" s="144" t="s">
        <v>51</v>
      </c>
      <c r="C17" s="194" t="s">
        <v>38</v>
      </c>
      <c r="D17" s="201" t="s">
        <v>89</v>
      </c>
    </row>
    <row r="18" spans="1:25" ht="12.75">
      <c r="A18" s="76" t="s">
        <v>101</v>
      </c>
      <c r="B18" s="194">
        <f>D5</f>
        <v>0</v>
      </c>
      <c r="C18" s="194">
        <f>B18/Исх!$C$20</f>
        <v>0</v>
      </c>
      <c r="D18" s="163">
        <f>B18/Исх!$C$5</f>
        <v>0</v>
      </c>
      <c r="L18" s="168"/>
      <c r="Y18" s="168"/>
    </row>
    <row r="19" spans="1:25" ht="12.75">
      <c r="A19" s="76" t="s">
        <v>97</v>
      </c>
      <c r="B19" s="194">
        <f>D8</f>
        <v>681</v>
      </c>
      <c r="C19" s="194">
        <f>B19/Исх!$C$20</f>
        <v>681</v>
      </c>
      <c r="D19" s="163">
        <f>B19/Исх!$C$5</f>
        <v>4.481737413622903</v>
      </c>
      <c r="L19" s="168"/>
      <c r="Y19" s="168"/>
    </row>
    <row r="20" spans="1:25" ht="12.75">
      <c r="A20" s="76" t="s">
        <v>172</v>
      </c>
      <c r="B20" s="194">
        <f>D12</f>
        <v>24</v>
      </c>
      <c r="C20" s="194">
        <f>B20/Исх!$C$20</f>
        <v>24</v>
      </c>
      <c r="D20" s="163">
        <f>B20/Исх!$C$5</f>
        <v>0.15794669299111552</v>
      </c>
      <c r="L20" s="168"/>
      <c r="Y20" s="168"/>
    </row>
    <row r="21" spans="1:4" ht="12.75">
      <c r="A21" s="60" t="s">
        <v>80</v>
      </c>
      <c r="B21" s="202">
        <f>SUM(B18:B20)</f>
        <v>705</v>
      </c>
      <c r="C21" s="202">
        <f>SUM(C18:C20)</f>
        <v>705</v>
      </c>
      <c r="D21" s="202">
        <f>SUM(D18:D20)</f>
        <v>4.639684106614018</v>
      </c>
    </row>
    <row r="23" ht="12.75">
      <c r="B23" s="194"/>
    </row>
    <row r="24" ht="12.75">
      <c r="B24" s="194"/>
    </row>
    <row r="25" ht="12.75">
      <c r="B25" s="194"/>
    </row>
  </sheetData>
  <sheetProtection/>
  <mergeCells count="6">
    <mergeCell ref="R3:AC3"/>
    <mergeCell ref="E3:P3"/>
    <mergeCell ref="A3:A4"/>
    <mergeCell ref="B3:B4"/>
    <mergeCell ref="C3:C4"/>
    <mergeCell ref="D3:D4"/>
  </mergeCells>
  <printOptions/>
  <pageMargins left="0.4724409448818898" right="0.2362204724409449" top="0.4330708661417323" bottom="0.2755905511811024" header="0.35433070866141736" footer="0.1968503937007874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40.875" style="76" customWidth="1"/>
    <col min="2" max="2" width="8.875" style="76" customWidth="1"/>
    <col min="3" max="10" width="7.875" style="76" customWidth="1"/>
    <col min="11" max="16384" width="9.125" style="76" customWidth="1"/>
  </cols>
  <sheetData>
    <row r="1" spans="1:6" ht="12.75">
      <c r="A1" s="60" t="s">
        <v>66</v>
      </c>
      <c r="B1" s="60"/>
      <c r="C1" s="60"/>
      <c r="D1" s="60"/>
      <c r="E1" s="60"/>
      <c r="F1" s="60"/>
    </row>
    <row r="2" spans="1:10" ht="12.75">
      <c r="A2" s="203"/>
      <c r="B2" s="203"/>
      <c r="C2" s="203"/>
      <c r="D2" s="203"/>
      <c r="E2" s="203"/>
      <c r="F2" s="203"/>
      <c r="J2" s="144" t="str">
        <f>Исх!$C$11</f>
        <v>тыс.тг.</v>
      </c>
    </row>
    <row r="3" spans="1:10" ht="12.75">
      <c r="A3" s="211" t="s">
        <v>7</v>
      </c>
      <c r="B3" s="226">
        <v>2013</v>
      </c>
      <c r="C3" s="226">
        <f>B3+1</f>
        <v>2014</v>
      </c>
      <c r="D3" s="226">
        <f aca="true" t="shared" si="0" ref="D3:I3">C3+1</f>
        <v>2015</v>
      </c>
      <c r="E3" s="226">
        <f t="shared" si="0"/>
        <v>2016</v>
      </c>
      <c r="F3" s="226">
        <f t="shared" si="0"/>
        <v>2017</v>
      </c>
      <c r="G3" s="226">
        <f t="shared" si="0"/>
        <v>2018</v>
      </c>
      <c r="H3" s="226">
        <f t="shared" si="0"/>
        <v>2019</v>
      </c>
      <c r="I3" s="226">
        <f t="shared" si="0"/>
        <v>2020</v>
      </c>
      <c r="J3" s="226">
        <f>I3+1</f>
        <v>2021</v>
      </c>
    </row>
    <row r="4" spans="1:10" ht="12.75">
      <c r="A4" s="204" t="s">
        <v>303</v>
      </c>
      <c r="B4" s="205">
        <f>'2-ф2'!P5</f>
        <v>483</v>
      </c>
      <c r="C4" s="205">
        <f>'2-ф2'!AC5</f>
        <v>3150</v>
      </c>
      <c r="D4" s="205">
        <f>'2-ф2'!AD5</f>
        <v>4284</v>
      </c>
      <c r="E4" s="205">
        <f>'2-ф2'!AE5</f>
        <v>4788</v>
      </c>
      <c r="F4" s="205">
        <f>'2-ф2'!AF5</f>
        <v>5040</v>
      </c>
      <c r="G4" s="205">
        <f>'2-ф2'!AG5</f>
        <v>5292</v>
      </c>
      <c r="H4" s="205">
        <f>'2-ф2'!AH5</f>
        <v>5544</v>
      </c>
      <c r="I4" s="205">
        <f>'2-ф2'!AI5</f>
        <v>5796</v>
      </c>
      <c r="J4" s="205">
        <f>'2-ф2'!AJ5</f>
        <v>6048</v>
      </c>
    </row>
    <row r="5" spans="1:10" ht="12.75">
      <c r="A5" s="204" t="s">
        <v>81</v>
      </c>
      <c r="B5" s="206">
        <f aca="true" t="shared" si="1" ref="B5:H5">B4-B6</f>
        <v>38.7908235882353</v>
      </c>
      <c r="C5" s="206">
        <f t="shared" si="1"/>
        <v>550.0806557151282</v>
      </c>
      <c r="D5" s="206">
        <f t="shared" si="1"/>
        <v>1222.8374675170758</v>
      </c>
      <c r="E5" s="206">
        <f t="shared" si="1"/>
        <v>1626.363933310451</v>
      </c>
      <c r="F5" s="206">
        <f t="shared" si="1"/>
        <v>1794.3775789185238</v>
      </c>
      <c r="G5" s="206">
        <f t="shared" si="1"/>
        <v>1953.0435166879797</v>
      </c>
      <c r="H5" s="206">
        <f t="shared" si="1"/>
        <v>2108.4827513459086</v>
      </c>
      <c r="I5" s="206">
        <f>I4-I6</f>
        <v>2260.533947736733</v>
      </c>
      <c r="J5" s="206">
        <f>J4-J6</f>
        <v>1977.0277039470993</v>
      </c>
    </row>
    <row r="6" spans="1:10" ht="12.75">
      <c r="A6" s="204" t="s">
        <v>304</v>
      </c>
      <c r="B6" s="207">
        <f aca="true" t="shared" si="2" ref="B6:H6">SUM(B7:B8)</f>
        <v>444.2091764117647</v>
      </c>
      <c r="C6" s="207">
        <f t="shared" si="2"/>
        <v>2599.919344284872</v>
      </c>
      <c r="D6" s="207">
        <f t="shared" si="2"/>
        <v>3061.1625324829242</v>
      </c>
      <c r="E6" s="207">
        <f t="shared" si="2"/>
        <v>3161.636066689549</v>
      </c>
      <c r="F6" s="207">
        <f t="shared" si="2"/>
        <v>3245.622421081476</v>
      </c>
      <c r="G6" s="207">
        <f t="shared" si="2"/>
        <v>3338.9564833120203</v>
      </c>
      <c r="H6" s="207">
        <f t="shared" si="2"/>
        <v>3435.5172486540914</v>
      </c>
      <c r="I6" s="207">
        <f>SUM(I7:I8)</f>
        <v>3535.466052263267</v>
      </c>
      <c r="J6" s="207">
        <f>SUM(J7:J8)</f>
        <v>4070.9722960529007</v>
      </c>
    </row>
    <row r="7" spans="1:10" ht="12.75">
      <c r="A7" s="204" t="s">
        <v>82</v>
      </c>
      <c r="B7" s="205">
        <f>'2-ф2'!P15+'2-ф2'!P14+'2-ф2'!P13</f>
        <v>197.00917641176468</v>
      </c>
      <c r="C7" s="205">
        <f>'2-ф2'!AC15+'2-ф2'!AC14+'2-ф2'!AC13</f>
        <v>1231.9193442848718</v>
      </c>
      <c r="D7" s="205">
        <f>'2-ф2'!AD15+'2-ф2'!AD14+'2-ф2'!AD13</f>
        <v>1275.5625324829243</v>
      </c>
      <c r="E7" s="205">
        <f>'2-ф2'!AE15+'2-ф2'!AE14+'2-ф2'!AE13</f>
        <v>1318.4360666895486</v>
      </c>
      <c r="F7" s="205">
        <f>'2-ф2'!AF15+'2-ф2'!AF14+'2-ф2'!AF13</f>
        <v>1373.622421081476</v>
      </c>
      <c r="G7" s="205">
        <f>'2-ф2'!AG15+'2-ф2'!AG14+'2-ф2'!AG13</f>
        <v>1438.15648331202</v>
      </c>
      <c r="H7" s="205">
        <f>'2-ф2'!AH15+'2-ф2'!AH14+'2-ф2'!AH13</f>
        <v>1505.9172486540917</v>
      </c>
      <c r="I7" s="205">
        <f>'2-ф2'!AI15+'2-ф2'!AI14+'2-ф2'!AI13</f>
        <v>1577.066052263267</v>
      </c>
      <c r="J7" s="205">
        <f>'2-ф2'!AJ15+'2-ф2'!AJ14+'2-ф2'!AJ13</f>
        <v>1651.772296052901</v>
      </c>
    </row>
    <row r="8" spans="1:10" ht="12.75">
      <c r="A8" s="204" t="s">
        <v>83</v>
      </c>
      <c r="B8" s="205">
        <f>'2-ф2'!P9</f>
        <v>247.2</v>
      </c>
      <c r="C8" s="205">
        <f>'2-ф2'!AC9</f>
        <v>1368</v>
      </c>
      <c r="D8" s="205">
        <f>'2-ф2'!AD9</f>
        <v>1785.6</v>
      </c>
      <c r="E8" s="205">
        <f>'2-ф2'!AE9</f>
        <v>1843.2</v>
      </c>
      <c r="F8" s="205">
        <f>'2-ф2'!AF9</f>
        <v>1872</v>
      </c>
      <c r="G8" s="205">
        <f>'2-ф2'!AG9</f>
        <v>1900.8000000000002</v>
      </c>
      <c r="H8" s="205">
        <f>'2-ф2'!AH9</f>
        <v>1929.6</v>
      </c>
      <c r="I8" s="205">
        <f>'2-ф2'!AI9</f>
        <v>1958.4</v>
      </c>
      <c r="J8" s="205">
        <f>'2-ф2'!AJ9</f>
        <v>2419.2</v>
      </c>
    </row>
    <row r="9" spans="1:10" ht="12.75">
      <c r="A9" s="204" t="s">
        <v>84</v>
      </c>
      <c r="B9" s="207">
        <f aca="true" t="shared" si="3" ref="B9:H9">B4-B8</f>
        <v>235.8</v>
      </c>
      <c r="C9" s="207">
        <f t="shared" si="3"/>
        <v>1782</v>
      </c>
      <c r="D9" s="207">
        <f t="shared" si="3"/>
        <v>2498.4</v>
      </c>
      <c r="E9" s="207">
        <f t="shared" si="3"/>
        <v>2944.8</v>
      </c>
      <c r="F9" s="207">
        <f t="shared" si="3"/>
        <v>3168</v>
      </c>
      <c r="G9" s="207">
        <f t="shared" si="3"/>
        <v>3391.2</v>
      </c>
      <c r="H9" s="207">
        <f t="shared" si="3"/>
        <v>3614.4</v>
      </c>
      <c r="I9" s="207">
        <f>I4-I8</f>
        <v>3837.6</v>
      </c>
      <c r="J9" s="207">
        <f>J4-J8</f>
        <v>3628.8</v>
      </c>
    </row>
    <row r="10" spans="1:10" ht="12.75">
      <c r="A10" s="204" t="s">
        <v>67</v>
      </c>
      <c r="B10" s="208">
        <f aca="true" t="shared" si="4" ref="B10:H10">B9/B4</f>
        <v>0.4881987577639752</v>
      </c>
      <c r="C10" s="208">
        <f t="shared" si="4"/>
        <v>0.5657142857142857</v>
      </c>
      <c r="D10" s="208">
        <f t="shared" si="4"/>
        <v>0.5831932773109244</v>
      </c>
      <c r="E10" s="208">
        <f t="shared" si="4"/>
        <v>0.6150375939849625</v>
      </c>
      <c r="F10" s="208">
        <f t="shared" si="4"/>
        <v>0.6285714285714286</v>
      </c>
      <c r="G10" s="208">
        <f t="shared" si="4"/>
        <v>0.6408163265306122</v>
      </c>
      <c r="H10" s="208">
        <f t="shared" si="4"/>
        <v>0.6519480519480519</v>
      </c>
      <c r="I10" s="208">
        <f>I9/I4</f>
        <v>0.662111801242236</v>
      </c>
      <c r="J10" s="208">
        <f>J9/J4</f>
        <v>0.6</v>
      </c>
    </row>
    <row r="11" spans="1:10" ht="12.75">
      <c r="A11" s="204" t="s">
        <v>85</v>
      </c>
      <c r="B11" s="207">
        <f aca="true" t="shared" si="5" ref="B11:H11">B7/B10</f>
        <v>403.54296949483603</v>
      </c>
      <c r="C11" s="207">
        <f t="shared" si="5"/>
        <v>2177.6352045439653</v>
      </c>
      <c r="D11" s="207">
        <f t="shared" si="5"/>
        <v>2187.2037660730257</v>
      </c>
      <c r="E11" s="207">
        <f t="shared" si="5"/>
        <v>2143.667443394987</v>
      </c>
      <c r="F11" s="207">
        <f t="shared" si="5"/>
        <v>2185.3083971750752</v>
      </c>
      <c r="G11" s="207">
        <f t="shared" si="5"/>
        <v>2244.2569325569743</v>
      </c>
      <c r="H11" s="207">
        <f t="shared" si="5"/>
        <v>2309.8730706447222</v>
      </c>
      <c r="I11" s="207">
        <f>I7/I10</f>
        <v>2381.872743099306</v>
      </c>
      <c r="J11" s="207">
        <f>J7/J10</f>
        <v>2752.953826754835</v>
      </c>
    </row>
    <row r="12" spans="1:10" ht="25.5">
      <c r="A12" s="209" t="s">
        <v>68</v>
      </c>
      <c r="B12" s="210">
        <f aca="true" t="shared" si="6" ref="B12:H12">(B4-B11)/B4</f>
        <v>0.16450730953450096</v>
      </c>
      <c r="C12" s="210">
        <f t="shared" si="6"/>
        <v>0.3086872366527094</v>
      </c>
      <c r="D12" s="210">
        <f t="shared" si="6"/>
        <v>0.48944823387651126</v>
      </c>
      <c r="E12" s="210">
        <f t="shared" si="6"/>
        <v>0.5522833242700529</v>
      </c>
      <c r="F12" s="210">
        <f t="shared" si="6"/>
        <v>0.5664070640525645</v>
      </c>
      <c r="G12" s="210">
        <f t="shared" si="6"/>
        <v>0.5759151676952051</v>
      </c>
      <c r="H12" s="210">
        <f t="shared" si="6"/>
        <v>0.5833562282386865</v>
      </c>
      <c r="I12" s="210">
        <f>(I4-I11)/I4</f>
        <v>0.5890488711008789</v>
      </c>
      <c r="J12" s="210">
        <f>(J4-J11)/J4</f>
        <v>0.5448158355233408</v>
      </c>
    </row>
    <row r="13" spans="1:10" ht="12.75">
      <c r="A13" s="247" t="s">
        <v>95</v>
      </c>
      <c r="B13" s="248">
        <f aca="true" t="shared" si="7" ref="B13:H13">100%-B12</f>
        <v>0.835492690465499</v>
      </c>
      <c r="C13" s="248">
        <f t="shared" si="7"/>
        <v>0.6913127633472906</v>
      </c>
      <c r="D13" s="248">
        <f t="shared" si="7"/>
        <v>0.5105517661234887</v>
      </c>
      <c r="E13" s="248">
        <f t="shared" si="7"/>
        <v>0.4477166757299471</v>
      </c>
      <c r="F13" s="248">
        <f t="shared" si="7"/>
        <v>0.43359293594743553</v>
      </c>
      <c r="G13" s="248">
        <f t="shared" si="7"/>
        <v>0.4240848323047949</v>
      </c>
      <c r="H13" s="248">
        <f t="shared" si="7"/>
        <v>0.4166437717613135</v>
      </c>
      <c r="I13" s="248">
        <f>100%-I12</f>
        <v>0.4109511288991211</v>
      </c>
      <c r="J13" s="248">
        <f>100%-J12</f>
        <v>0.4551841644766592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6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3" sqref="J53"/>
    </sheetView>
  </sheetViews>
  <sheetFormatPr defaultColWidth="9.00390625" defaultRowHeight="12.75"/>
  <cols>
    <col min="1" max="1" width="50.375" style="70" bestFit="1" customWidth="1"/>
    <col min="2" max="2" width="15.875" style="71" customWidth="1"/>
    <col min="3" max="3" width="13.625" style="69" customWidth="1"/>
    <col min="4" max="4" width="8.00390625" style="69" customWidth="1"/>
    <col min="5" max="5" width="7.625" style="69" bestFit="1" customWidth="1"/>
    <col min="6" max="6" width="7.875" style="69" bestFit="1" customWidth="1"/>
    <col min="7" max="9" width="7.625" style="69" bestFit="1" customWidth="1"/>
    <col min="10" max="16384" width="9.125" style="69" customWidth="1"/>
  </cols>
  <sheetData>
    <row r="1" ht="13.5" customHeight="1">
      <c r="A1" s="223" t="s">
        <v>180</v>
      </c>
    </row>
    <row r="2" ht="12.75">
      <c r="A2" s="223" t="s">
        <v>283</v>
      </c>
    </row>
    <row r="4" spans="1:2" ht="13.5" customHeight="1">
      <c r="A4" s="218" t="s">
        <v>284</v>
      </c>
      <c r="B4" s="241" t="s">
        <v>285</v>
      </c>
    </row>
    <row r="5" spans="1:2" ht="12.75">
      <c r="A5" s="214" t="s">
        <v>163</v>
      </c>
      <c r="B5" s="252">
        <f>'1-Ф3'!AM49</f>
        <v>0.8524778858554478</v>
      </c>
    </row>
    <row r="6" spans="1:2" ht="12.75">
      <c r="A6" s="214" t="s">
        <v>164</v>
      </c>
      <c r="B6" s="215">
        <f>'1-Ф3'!AM47</f>
        <v>833.3462821731041</v>
      </c>
    </row>
    <row r="7" spans="1:2" ht="12.75">
      <c r="A7" s="214" t="s">
        <v>260</v>
      </c>
      <c r="B7" s="222">
        <f>'1-Ф3'!AM48</f>
        <v>2.276869722266127</v>
      </c>
    </row>
    <row r="8" spans="1:2" ht="12.75">
      <c r="A8" s="214" t="s">
        <v>165</v>
      </c>
      <c r="B8" s="310">
        <f>'1-Ф3'!B50</f>
        <v>1.237388412760101</v>
      </c>
    </row>
    <row r="9" spans="1:2" ht="12.75">
      <c r="A9" s="214" t="s">
        <v>166</v>
      </c>
      <c r="B9" s="310">
        <f>'1-Ф3'!B51</f>
        <v>1.290742228715055</v>
      </c>
    </row>
    <row r="11" spans="1:3" ht="13.5" customHeight="1">
      <c r="A11" s="218" t="s">
        <v>181</v>
      </c>
      <c r="B11" s="276" t="s">
        <v>171</v>
      </c>
      <c r="C11" s="276" t="s">
        <v>156</v>
      </c>
    </row>
    <row r="12" spans="1:3" ht="13.5" customHeight="1">
      <c r="A12" s="214" t="s">
        <v>155</v>
      </c>
      <c r="B12" s="215">
        <f>'1-Ф3'!B22</f>
        <v>705</v>
      </c>
      <c r="C12" s="220">
        <f>B12/$B$14</f>
        <v>1</v>
      </c>
    </row>
    <row r="13" spans="1:3" ht="13.5" customHeight="1">
      <c r="A13" s="214" t="s">
        <v>154</v>
      </c>
      <c r="B13" s="215">
        <f>'1-Ф3'!B28-'1-Ф3'!B22</f>
        <v>0</v>
      </c>
      <c r="C13" s="220">
        <f>B13/$B$14</f>
        <v>0</v>
      </c>
    </row>
    <row r="14" spans="1:3" ht="13.5" customHeight="1">
      <c r="A14" s="216" t="s">
        <v>80</v>
      </c>
      <c r="B14" s="217">
        <f>SUM(B12:B13)</f>
        <v>705</v>
      </c>
      <c r="C14" s="221">
        <f>SUM(C12:C13)</f>
        <v>1</v>
      </c>
    </row>
    <row r="15" spans="1:2" ht="13.5" customHeight="1">
      <c r="A15" s="72"/>
      <c r="B15" s="73"/>
    </row>
    <row r="16" spans="1:3" ht="13.5" customHeight="1">
      <c r="A16" s="218" t="s">
        <v>175</v>
      </c>
      <c r="B16" s="276" t="str">
        <f>B11</f>
        <v>Сумма, тыс.тг.</v>
      </c>
      <c r="C16" s="276" t="str">
        <f>C11</f>
        <v>Доля</v>
      </c>
    </row>
    <row r="17" spans="1:3" ht="13.5" customHeight="1">
      <c r="A17" s="214" t="str">
        <f>Исх!A9</f>
        <v>Собственные средства</v>
      </c>
      <c r="B17" s="215">
        <f>'1-Ф3'!B29</f>
        <v>105.75</v>
      </c>
      <c r="C17" s="220">
        <f>B17/$B$19</f>
        <v>0.15</v>
      </c>
    </row>
    <row r="18" spans="1:3" ht="13.5" customHeight="1">
      <c r="A18" s="214" t="str">
        <f>Исх!A10</f>
        <v>Заемные средства</v>
      </c>
      <c r="B18" s="215">
        <f>'1-Ф3'!B30</f>
        <v>599.25</v>
      </c>
      <c r="C18" s="220">
        <f>B18/$B$19</f>
        <v>0.85</v>
      </c>
    </row>
    <row r="19" spans="1:3" ht="12.75">
      <c r="A19" s="216" t="s">
        <v>80</v>
      </c>
      <c r="B19" s="217">
        <f>SUM(B17:B18)</f>
        <v>705</v>
      </c>
      <c r="C19" s="221">
        <f>SUM(C17:C18)</f>
        <v>1</v>
      </c>
    </row>
    <row r="20" spans="1:2" ht="12.75">
      <c r="A20" s="75"/>
      <c r="B20" s="74"/>
    </row>
    <row r="21" spans="1:2" ht="13.5" customHeight="1" hidden="1">
      <c r="A21" s="218" t="s">
        <v>138</v>
      </c>
      <c r="B21" s="241" t="s">
        <v>6</v>
      </c>
    </row>
    <row r="22" spans="1:2" ht="12.75" hidden="1">
      <c r="A22" s="214" t="s">
        <v>157</v>
      </c>
      <c r="B22" s="215" t="s">
        <v>158</v>
      </c>
    </row>
    <row r="23" spans="1:2" ht="12.75" hidden="1">
      <c r="A23" s="214" t="s">
        <v>159</v>
      </c>
      <c r="B23" s="220">
        <f>Исх!C42</f>
        <v>0.07</v>
      </c>
    </row>
    <row r="24" spans="1:2" ht="12.75" hidden="1">
      <c r="A24" s="214" t="s">
        <v>173</v>
      </c>
      <c r="B24" s="222">
        <f>Исх!C43</f>
        <v>3</v>
      </c>
    </row>
    <row r="25" spans="1:2" ht="12.75" hidden="1">
      <c r="A25" s="214" t="s">
        <v>160</v>
      </c>
      <c r="B25" s="215" t="s">
        <v>161</v>
      </c>
    </row>
    <row r="26" spans="1:2" ht="12.75" hidden="1">
      <c r="A26" s="214" t="s">
        <v>162</v>
      </c>
      <c r="B26" s="215">
        <f>Исх!C44</f>
        <v>0</v>
      </c>
    </row>
    <row r="27" spans="1:2" ht="12.75" hidden="1">
      <c r="A27" s="214" t="s">
        <v>200</v>
      </c>
      <c r="B27" s="215">
        <f>Исх!C45</f>
        <v>3</v>
      </c>
    </row>
    <row r="28" spans="1:2" ht="12.75" hidden="1">
      <c r="A28" s="214" t="s">
        <v>179</v>
      </c>
      <c r="B28" s="215" t="s">
        <v>215</v>
      </c>
    </row>
    <row r="29" ht="12.75" hidden="1"/>
    <row r="30" spans="1:11" ht="12.75">
      <c r="A30" s="218" t="s">
        <v>246</v>
      </c>
      <c r="B30" s="290" t="s">
        <v>176</v>
      </c>
      <c r="C30" s="290">
        <v>2013</v>
      </c>
      <c r="D30" s="253">
        <f aca="true" t="shared" si="0" ref="D30:K30">D38</f>
        <v>2014</v>
      </c>
      <c r="E30" s="262">
        <f t="shared" si="0"/>
        <v>2015</v>
      </c>
      <c r="F30" s="262">
        <f t="shared" si="0"/>
        <v>2016</v>
      </c>
      <c r="G30" s="262">
        <f t="shared" si="0"/>
        <v>2017</v>
      </c>
      <c r="H30" s="262">
        <f t="shared" si="0"/>
        <v>2018</v>
      </c>
      <c r="I30" s="262">
        <f t="shared" si="0"/>
        <v>2019</v>
      </c>
      <c r="J30" s="262">
        <f t="shared" si="0"/>
        <v>2020</v>
      </c>
      <c r="K30" s="276">
        <f t="shared" si="0"/>
        <v>2021</v>
      </c>
    </row>
    <row r="31" spans="1:11" ht="12.75">
      <c r="A31" s="214" t="s">
        <v>286</v>
      </c>
      <c r="B31" s="301" t="s">
        <v>37</v>
      </c>
      <c r="C31" s="220">
        <f>Услуги!P5</f>
        <v>0.575</v>
      </c>
      <c r="D31" s="220">
        <f>Услуги!AC5</f>
        <v>0.625</v>
      </c>
      <c r="E31" s="220">
        <f>Услуги!AD5</f>
        <v>0.85</v>
      </c>
      <c r="F31" s="220">
        <f>Услуги!AE5</f>
        <v>0.95</v>
      </c>
      <c r="G31" s="220">
        <f>Услуги!AF5</f>
        <v>1</v>
      </c>
      <c r="H31" s="220">
        <f>Услуги!AG5</f>
        <v>1.05</v>
      </c>
      <c r="I31" s="220">
        <f>Услуги!AH5</f>
        <v>1.1</v>
      </c>
      <c r="J31" s="220">
        <f>Услуги!AI5</f>
        <v>1.15</v>
      </c>
      <c r="K31" s="220">
        <f>Услуги!AJ5</f>
        <v>1.2</v>
      </c>
    </row>
    <row r="32" spans="1:11" ht="12.75">
      <c r="A32" s="353" t="str">
        <f>Услуги!A6</f>
        <v>Групповые занятия каратэ</v>
      </c>
      <c r="B32" s="302" t="str">
        <f>Услуги!C6</f>
        <v>чел.</v>
      </c>
      <c r="C32" s="215">
        <f>Услуги!P6</f>
        <v>17.25</v>
      </c>
      <c r="D32" s="215">
        <f>Услуги!AC6</f>
        <v>18.75</v>
      </c>
      <c r="E32" s="215">
        <f>Услуги!AD6</f>
        <v>25.5</v>
      </c>
      <c r="F32" s="215">
        <f>Услуги!AE6</f>
        <v>28.5</v>
      </c>
      <c r="G32" s="215">
        <f>Услуги!AF6</f>
        <v>30</v>
      </c>
      <c r="H32" s="215">
        <f>Услуги!AG6</f>
        <v>31.5</v>
      </c>
      <c r="I32" s="215">
        <f>Услуги!AH6</f>
        <v>33</v>
      </c>
      <c r="J32" s="215">
        <f>Услуги!AI6</f>
        <v>34.5</v>
      </c>
      <c r="K32" s="215">
        <f>Услуги!AJ6</f>
        <v>36</v>
      </c>
    </row>
    <row r="33" spans="1:11" ht="12.75">
      <c r="A33" s="354"/>
      <c r="B33" s="302" t="str">
        <f>Услуги!C7</f>
        <v>групп</v>
      </c>
      <c r="C33" s="215">
        <f>Услуги!P7</f>
        <v>2</v>
      </c>
      <c r="D33" s="215">
        <f>Услуги!AC7</f>
        <v>1.75</v>
      </c>
      <c r="E33" s="215">
        <f>Услуги!AD7</f>
        <v>3</v>
      </c>
      <c r="F33" s="215">
        <f>Услуги!AE7</f>
        <v>3</v>
      </c>
      <c r="G33" s="215">
        <f>Услуги!AF7</f>
        <v>3</v>
      </c>
      <c r="H33" s="215">
        <f>Услуги!AG7</f>
        <v>3</v>
      </c>
      <c r="I33" s="215">
        <f>Услуги!AH7</f>
        <v>3</v>
      </c>
      <c r="J33" s="215">
        <f>Услуги!AI7</f>
        <v>3</v>
      </c>
      <c r="K33" s="215">
        <f>Услуги!AJ7</f>
        <v>4</v>
      </c>
    </row>
    <row r="34" spans="1:11" ht="12.75">
      <c r="A34" s="353" t="str">
        <f>Услуги!A8</f>
        <v>Групповые занятия ушу, тхэквондо</v>
      </c>
      <c r="B34" s="302" t="str">
        <f>Услуги!C8</f>
        <v>чел.</v>
      </c>
      <c r="C34" s="215">
        <f>Услуги!P8</f>
        <v>17.25</v>
      </c>
      <c r="D34" s="215">
        <f>Услуги!AC8</f>
        <v>18.75</v>
      </c>
      <c r="E34" s="215">
        <f>Услуги!AD8</f>
        <v>25.5</v>
      </c>
      <c r="F34" s="215">
        <f>Услуги!AE8</f>
        <v>28.5</v>
      </c>
      <c r="G34" s="215">
        <f>Услуги!AF8</f>
        <v>30</v>
      </c>
      <c r="H34" s="215">
        <f>Услуги!AG8</f>
        <v>31.5</v>
      </c>
      <c r="I34" s="215">
        <f>Услуги!AH8</f>
        <v>33</v>
      </c>
      <c r="J34" s="215">
        <f>Услуги!AI8</f>
        <v>34.5</v>
      </c>
      <c r="K34" s="215">
        <f>Услуги!AJ8</f>
        <v>36</v>
      </c>
    </row>
    <row r="35" spans="1:11" ht="12.75">
      <c r="A35" s="354"/>
      <c r="B35" s="302" t="str">
        <f>Услуги!C9</f>
        <v>групп</v>
      </c>
      <c r="C35" s="215">
        <f>Услуги!P9</f>
        <v>2</v>
      </c>
      <c r="D35" s="215">
        <f>Услуги!AC9</f>
        <v>1.75</v>
      </c>
      <c r="E35" s="215">
        <f>Услуги!AD9</f>
        <v>3</v>
      </c>
      <c r="F35" s="215">
        <f>Услуги!AE9</f>
        <v>3</v>
      </c>
      <c r="G35" s="215">
        <f>Услуги!AF9</f>
        <v>3</v>
      </c>
      <c r="H35" s="215">
        <f>Услуги!AG9</f>
        <v>3</v>
      </c>
      <c r="I35" s="215">
        <f>Услуги!AH9</f>
        <v>3</v>
      </c>
      <c r="J35" s="215">
        <f>Услуги!AI9</f>
        <v>3</v>
      </c>
      <c r="K35" s="215">
        <f>Услуги!AJ9</f>
        <v>4</v>
      </c>
    </row>
    <row r="36" spans="1:11" ht="12.75">
      <c r="A36" s="214" t="str">
        <f>Услуги!A10</f>
        <v>Индивидуальные занятия</v>
      </c>
      <c r="B36" s="302" t="str">
        <f>Услуги!C10</f>
        <v>час</v>
      </c>
      <c r="C36" s="215">
        <f>Услуги!P10</f>
        <v>34.5</v>
      </c>
      <c r="D36" s="215">
        <f>Услуги!AC10</f>
        <v>37.5</v>
      </c>
      <c r="E36" s="215">
        <f>Услуги!AD10</f>
        <v>51</v>
      </c>
      <c r="F36" s="215">
        <f>Услуги!AE10</f>
        <v>57</v>
      </c>
      <c r="G36" s="215">
        <f>Услуги!AF10</f>
        <v>60</v>
      </c>
      <c r="H36" s="215">
        <f>Услуги!AG10</f>
        <v>63</v>
      </c>
      <c r="I36" s="215">
        <f>Услуги!AH10</f>
        <v>66</v>
      </c>
      <c r="J36" s="215">
        <f>Услуги!AI10</f>
        <v>69</v>
      </c>
      <c r="K36" s="215">
        <f>Услуги!AJ10</f>
        <v>72</v>
      </c>
    </row>
    <row r="38" spans="1:11" ht="13.5" customHeight="1">
      <c r="A38" s="218" t="s">
        <v>182</v>
      </c>
      <c r="B38" s="290" t="s">
        <v>176</v>
      </c>
      <c r="C38" s="290">
        <v>2013</v>
      </c>
      <c r="D38" s="262">
        <v>2014</v>
      </c>
      <c r="E38" s="262">
        <f aca="true" t="shared" si="1" ref="E38:K38">D38+1</f>
        <v>2015</v>
      </c>
      <c r="F38" s="270">
        <f t="shared" si="1"/>
        <v>2016</v>
      </c>
      <c r="G38" s="270">
        <f t="shared" si="1"/>
        <v>2017</v>
      </c>
      <c r="H38" s="270">
        <f t="shared" si="1"/>
        <v>2018</v>
      </c>
      <c r="I38" s="270">
        <f t="shared" si="1"/>
        <v>2019</v>
      </c>
      <c r="J38" s="270">
        <f t="shared" si="1"/>
        <v>2020</v>
      </c>
      <c r="K38" s="276">
        <f t="shared" si="1"/>
        <v>2021</v>
      </c>
    </row>
    <row r="39" spans="1:13" ht="12.75">
      <c r="A39" s="214" t="s">
        <v>247</v>
      </c>
      <c r="B39" s="302" t="s">
        <v>51</v>
      </c>
      <c r="C39" s="215">
        <f>'2-ф2'!P5</f>
        <v>483</v>
      </c>
      <c r="D39" s="215">
        <f>'2-ф2'!AC5</f>
        <v>3150</v>
      </c>
      <c r="E39" s="215">
        <f>'2-ф2'!AD5</f>
        <v>4284</v>
      </c>
      <c r="F39" s="215">
        <f>'2-ф2'!AE5</f>
        <v>4788</v>
      </c>
      <c r="G39" s="215">
        <f>'2-ф2'!AF5</f>
        <v>5040</v>
      </c>
      <c r="H39" s="215">
        <f>'2-ф2'!AG5</f>
        <v>5292</v>
      </c>
      <c r="I39" s="215">
        <f>'2-ф2'!AH5</f>
        <v>5544</v>
      </c>
      <c r="J39" s="215">
        <f>'2-ф2'!AI5</f>
        <v>5796</v>
      </c>
      <c r="K39" s="215">
        <f>'2-ф2'!AJ5</f>
        <v>6048</v>
      </c>
      <c r="M39" s="304"/>
    </row>
    <row r="40" spans="1:13" ht="12.75">
      <c r="A40" s="214" t="s">
        <v>14</v>
      </c>
      <c r="B40" s="302" t="s">
        <v>51</v>
      </c>
      <c r="C40" s="215">
        <f>'2-ф2'!P12</f>
        <v>235.8</v>
      </c>
      <c r="D40" s="215">
        <f>'2-ф2'!AC12</f>
        <v>1782</v>
      </c>
      <c r="E40" s="215">
        <f>'2-ф2'!AD12</f>
        <v>2498.4</v>
      </c>
      <c r="F40" s="215">
        <f>'2-ф2'!AE12</f>
        <v>2944.8</v>
      </c>
      <c r="G40" s="215">
        <f>'2-ф2'!AF12</f>
        <v>3168</v>
      </c>
      <c r="H40" s="215">
        <f>'2-ф2'!AG12</f>
        <v>3391.2</v>
      </c>
      <c r="I40" s="215">
        <f>'2-ф2'!AH12</f>
        <v>3614.4</v>
      </c>
      <c r="J40" s="215">
        <f>'2-ф2'!AI12</f>
        <v>3837.6</v>
      </c>
      <c r="K40" s="215">
        <f>'2-ф2'!AJ12</f>
        <v>3628.8</v>
      </c>
      <c r="M40" s="304"/>
    </row>
    <row r="41" spans="1:13" ht="12.75">
      <c r="A41" s="214" t="s">
        <v>216</v>
      </c>
      <c r="B41" s="302" t="s">
        <v>51</v>
      </c>
      <c r="C41" s="215">
        <f>'2-ф2'!P18</f>
        <v>24.30082358823531</v>
      </c>
      <c r="D41" s="215">
        <f>'2-ф2'!AC18</f>
        <v>455.5806557151282</v>
      </c>
      <c r="E41" s="215">
        <f>'2-ф2'!AD18</f>
        <v>1094.3174675170758</v>
      </c>
      <c r="F41" s="215">
        <f>'2-ф2'!AE18</f>
        <v>1482.7239333104512</v>
      </c>
      <c r="G41" s="215">
        <f>'2-ф2'!AF18</f>
        <v>1643.1775789185237</v>
      </c>
      <c r="H41" s="215">
        <f>'2-ф2'!AG18</f>
        <v>1794.2835166879795</v>
      </c>
      <c r="I41" s="215">
        <f>'2-ф2'!AH18</f>
        <v>1942.1627513459086</v>
      </c>
      <c r="J41" s="215">
        <f>'2-ф2'!AI18</f>
        <v>2086.653947736733</v>
      </c>
      <c r="K41" s="215">
        <f>'2-ф2'!AJ18</f>
        <v>1795.5877039470993</v>
      </c>
      <c r="M41" s="304"/>
    </row>
    <row r="42" spans="1:11" ht="12.75">
      <c r="A42" s="214" t="s">
        <v>248</v>
      </c>
      <c r="B42" s="289" t="s">
        <v>37</v>
      </c>
      <c r="C42" s="300">
        <f>C40/C39</f>
        <v>0.4881987577639752</v>
      </c>
      <c r="D42" s="300">
        <f aca="true" t="shared" si="2" ref="D42:K42">D40/D39</f>
        <v>0.5657142857142857</v>
      </c>
      <c r="E42" s="300">
        <f t="shared" si="2"/>
        <v>0.5831932773109244</v>
      </c>
      <c r="F42" s="300">
        <f t="shared" si="2"/>
        <v>0.6150375939849625</v>
      </c>
      <c r="G42" s="300">
        <f t="shared" si="2"/>
        <v>0.6285714285714286</v>
      </c>
      <c r="H42" s="300">
        <f t="shared" si="2"/>
        <v>0.6408163265306122</v>
      </c>
      <c r="I42" s="300">
        <f t="shared" si="2"/>
        <v>0.6519480519480519</v>
      </c>
      <c r="J42" s="300">
        <f t="shared" si="2"/>
        <v>0.662111801242236</v>
      </c>
      <c r="K42" s="300">
        <f t="shared" si="2"/>
        <v>0.6</v>
      </c>
    </row>
    <row r="43" spans="1:11" ht="12.75">
      <c r="A43" s="214" t="s">
        <v>249</v>
      </c>
      <c r="B43" s="289" t="s">
        <v>37</v>
      </c>
      <c r="C43" s="220">
        <f>C41/C39</f>
        <v>0.05031226415783708</v>
      </c>
      <c r="D43" s="220">
        <f aca="true" t="shared" si="3" ref="D43:K43">D41/D39</f>
        <v>0.14462877959210418</v>
      </c>
      <c r="E43" s="220">
        <f t="shared" si="3"/>
        <v>0.2554429195884864</v>
      </c>
      <c r="F43" s="220">
        <f t="shared" si="3"/>
        <v>0.30967500695707</v>
      </c>
      <c r="G43" s="220">
        <f t="shared" si="3"/>
        <v>0.326027297404469</v>
      </c>
      <c r="H43" s="220">
        <f t="shared" si="3"/>
        <v>0.33905584215570284</v>
      </c>
      <c r="I43" s="220">
        <f t="shared" si="3"/>
        <v>0.35031795659197484</v>
      </c>
      <c r="J43" s="220">
        <f t="shared" si="3"/>
        <v>0.36001620906430865</v>
      </c>
      <c r="K43" s="220">
        <f t="shared" si="3"/>
        <v>0.2968895013140045</v>
      </c>
    </row>
    <row r="44" spans="1:11" s="286" customFormat="1" ht="12.75">
      <c r="A44" s="268" t="s">
        <v>250</v>
      </c>
      <c r="B44" s="303" t="s">
        <v>51</v>
      </c>
      <c r="C44" s="269">
        <f>'1-Ф3'!P35</f>
        <v>38.12435300000004</v>
      </c>
      <c r="D44" s="269">
        <f>'1-Ф3'!AC35</f>
        <v>351.40703429072414</v>
      </c>
      <c r="E44" s="269">
        <f>'1-Ф3'!AD35</f>
        <v>959.00572972579</v>
      </c>
      <c r="F44" s="269">
        <f>'1-Ф3'!AE35</f>
        <v>1371.782821937908</v>
      </c>
      <c r="G44" s="269">
        <f>'1-Ф3'!AF35</f>
        <v>1726.1187553891123</v>
      </c>
      <c r="H44" s="269">
        <f>'1-Ф3'!AG35</f>
        <v>1877.2246931585678</v>
      </c>
      <c r="I44" s="269">
        <f>'1-Ф3'!AH35</f>
        <v>2025.1039278164967</v>
      </c>
      <c r="J44" s="269">
        <f>'1-Ф3'!AI35</f>
        <v>2169.595124207321</v>
      </c>
      <c r="K44" s="269">
        <f>'1-Ф3'!AJ35</f>
        <v>1878.528880417688</v>
      </c>
    </row>
    <row r="46" ht="12.75">
      <c r="A46" s="223"/>
    </row>
    <row r="47" ht="12.75">
      <c r="A47" s="223" t="s">
        <v>167</v>
      </c>
    </row>
    <row r="48" spans="1:8" ht="12.75">
      <c r="A48" s="350" t="s">
        <v>218</v>
      </c>
      <c r="B48" s="352" t="s">
        <v>290</v>
      </c>
      <c r="C48" s="352"/>
      <c r="D48" s="352"/>
      <c r="E48" s="352"/>
      <c r="F48" s="352"/>
      <c r="G48" s="352"/>
      <c r="H48" s="352"/>
    </row>
    <row r="49" spans="1:8" ht="12.75">
      <c r="A49" s="351"/>
      <c r="B49" s="219" t="s">
        <v>291</v>
      </c>
      <c r="C49" s="306" t="s">
        <v>292</v>
      </c>
      <c r="D49" s="306" t="s">
        <v>293</v>
      </c>
      <c r="E49" s="306" t="s">
        <v>294</v>
      </c>
      <c r="F49" s="306" t="s">
        <v>295</v>
      </c>
      <c r="G49" s="306" t="s">
        <v>296</v>
      </c>
      <c r="H49" s="306" t="s">
        <v>297</v>
      </c>
    </row>
    <row r="50" spans="1:8" ht="12.75">
      <c r="A50" s="224" t="s">
        <v>190</v>
      </c>
      <c r="B50" s="225"/>
      <c r="C50" s="225"/>
      <c r="D50" s="220"/>
      <c r="E50" s="220"/>
      <c r="F50" s="220"/>
      <c r="G50" s="220"/>
      <c r="H50" s="220"/>
    </row>
    <row r="51" spans="1:8" ht="12.75">
      <c r="A51" s="214" t="s">
        <v>251</v>
      </c>
      <c r="B51" s="215"/>
      <c r="C51" s="225"/>
      <c r="D51" s="220"/>
      <c r="E51" s="220"/>
      <c r="F51" s="220"/>
      <c r="G51" s="220"/>
      <c r="H51" s="220"/>
    </row>
    <row r="52" spans="1:8" ht="12.75">
      <c r="A52" s="224" t="s">
        <v>252</v>
      </c>
      <c r="B52" s="220"/>
      <c r="C52" s="225"/>
      <c r="D52" s="225"/>
      <c r="E52" s="220"/>
      <c r="F52" s="220"/>
      <c r="G52" s="220"/>
      <c r="H52" s="220"/>
    </row>
    <row r="53" spans="1:8" ht="12.75">
      <c r="A53" s="224" t="s">
        <v>287</v>
      </c>
      <c r="B53" s="220"/>
      <c r="C53" s="220"/>
      <c r="D53" s="220"/>
      <c r="E53" s="225"/>
      <c r="F53" s="225"/>
      <c r="G53" s="220"/>
      <c r="H53" s="220"/>
    </row>
    <row r="54" spans="1:8" ht="12.75">
      <c r="A54" s="214" t="s">
        <v>288</v>
      </c>
      <c r="B54" s="220"/>
      <c r="C54" s="220"/>
      <c r="D54" s="220"/>
      <c r="E54" s="220"/>
      <c r="F54" s="225"/>
      <c r="G54" s="220"/>
      <c r="H54" s="220"/>
    </row>
    <row r="55" spans="1:8" ht="12.75">
      <c r="A55" s="224" t="s">
        <v>253</v>
      </c>
      <c r="B55" s="220"/>
      <c r="C55" s="220"/>
      <c r="D55" s="220"/>
      <c r="E55" s="220"/>
      <c r="F55" s="225"/>
      <c r="G55" s="225"/>
      <c r="H55" s="220"/>
    </row>
    <row r="56" spans="1:8" ht="12.75">
      <c r="A56" s="214" t="s">
        <v>254</v>
      </c>
      <c r="B56" s="220"/>
      <c r="C56" s="220"/>
      <c r="D56" s="220"/>
      <c r="E56" s="220"/>
      <c r="F56" s="225"/>
      <c r="G56" s="225"/>
      <c r="H56" s="220"/>
    </row>
    <row r="57" spans="1:8" ht="12.75">
      <c r="A57" s="214" t="s">
        <v>289</v>
      </c>
      <c r="B57" s="220"/>
      <c r="C57" s="220"/>
      <c r="D57" s="220"/>
      <c r="E57" s="220"/>
      <c r="F57" s="220"/>
      <c r="G57" s="225"/>
      <c r="H57" s="225"/>
    </row>
    <row r="59" ht="12.75">
      <c r="A59" s="223" t="s">
        <v>244</v>
      </c>
    </row>
    <row r="61" spans="1:2" ht="12.75">
      <c r="A61" s="250" t="s">
        <v>170</v>
      </c>
      <c r="B61" s="251" t="s">
        <v>171</v>
      </c>
    </row>
    <row r="62" spans="1:2" ht="12.75" hidden="1">
      <c r="A62" s="214" t="s">
        <v>36</v>
      </c>
      <c r="B62" s="215">
        <f>'1-Ф3'!B18</f>
        <v>0</v>
      </c>
    </row>
    <row r="63" spans="1:2" ht="12.75">
      <c r="A63" s="214" t="s">
        <v>281</v>
      </c>
      <c r="B63" s="215">
        <f>'1-Ф3'!B17</f>
        <v>1212.75</v>
      </c>
    </row>
    <row r="64" spans="1:2" ht="12.75">
      <c r="A64" s="224" t="s">
        <v>203</v>
      </c>
      <c r="B64" s="215">
        <f>(ФОТ!K24-ФОТ!J24-ФОТ!I24-ФОТ!H24)*12*8.17+'2-ф2'!B10/1.3*0.3</f>
        <v>3700.9560683076916</v>
      </c>
    </row>
    <row r="65" spans="1:2" ht="12.75" hidden="1">
      <c r="A65" s="214" t="s">
        <v>245</v>
      </c>
      <c r="B65" s="215">
        <f>SUM(Пост!C18:J18)*12</f>
        <v>0</v>
      </c>
    </row>
    <row r="66" spans="1:2" ht="12.75">
      <c r="A66" s="216" t="s">
        <v>0</v>
      </c>
      <c r="B66" s="217">
        <f>SUM(B62:B65)</f>
        <v>4913.706068307692</v>
      </c>
    </row>
  </sheetData>
  <sheetProtection/>
  <mergeCells count="4">
    <mergeCell ref="A48:A49"/>
    <mergeCell ref="B48:H48"/>
    <mergeCell ref="A32:A33"/>
    <mergeCell ref="A34:A35"/>
  </mergeCells>
  <printOptions/>
  <pageMargins left="0.1968503937007874" right="0.1968503937007874" top="0.6692913385826772" bottom="0.35433070866141736" header="0.51181102362204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S32"/>
  <sheetViews>
    <sheetView showGridLines="0" showZeros="0" tabSelected="1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10" sqref="A10"/>
    </sheetView>
  </sheetViews>
  <sheetFormatPr defaultColWidth="10.125" defaultRowHeight="12.75" outlineLevelCol="1"/>
  <cols>
    <col min="1" max="1" width="38.125" style="86" customWidth="1"/>
    <col min="2" max="2" width="11.375" style="86" customWidth="1"/>
    <col min="3" max="3" width="3.875" style="86" customWidth="1"/>
    <col min="4" max="4" width="7.125" style="86" hidden="1" customWidth="1" outlineLevel="1"/>
    <col min="5" max="5" width="8.25390625" style="86" hidden="1" customWidth="1" outlineLevel="1"/>
    <col min="6" max="11" width="7.00390625" style="86" hidden="1" customWidth="1" outlineLevel="1"/>
    <col min="12" max="12" width="8.75390625" style="86" hidden="1" customWidth="1" outlineLevel="1"/>
    <col min="13" max="13" width="7.875" style="86" hidden="1" customWidth="1" outlineLevel="1"/>
    <col min="14" max="15" width="8.625" style="86" hidden="1" customWidth="1" outlineLevel="1"/>
    <col min="16" max="16" width="9.125" style="86" customWidth="1" collapsed="1"/>
    <col min="17" max="28" width="8.375" style="86" hidden="1" customWidth="1" outlineLevel="1"/>
    <col min="29" max="29" width="9.125" style="86" customWidth="1" collapsed="1"/>
    <col min="30" max="36" width="8.625" style="86" customWidth="1"/>
    <col min="37" max="16384" width="10.125" style="86" customWidth="1"/>
  </cols>
  <sheetData>
    <row r="1" spans="1:3" ht="21" customHeight="1">
      <c r="A1" s="60" t="s">
        <v>102</v>
      </c>
      <c r="B1" s="85"/>
      <c r="C1" s="85"/>
    </row>
    <row r="2" spans="1:3" ht="17.25" customHeight="1">
      <c r="A2" s="60"/>
      <c r="B2" s="12" t="str">
        <f>Исх!$C$11</f>
        <v>тыс.тг.</v>
      </c>
      <c r="C2" s="87"/>
    </row>
    <row r="3" spans="1:36" ht="12.75" customHeight="1">
      <c r="A3" s="318" t="s">
        <v>2</v>
      </c>
      <c r="B3" s="322" t="s">
        <v>80</v>
      </c>
      <c r="C3" s="89"/>
      <c r="D3" s="317">
        <v>2013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>
        <v>2014</v>
      </c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90">
        <v>2015</v>
      </c>
      <c r="AE3" s="90">
        <f aca="true" t="shared" si="0" ref="AE3:AJ3">AD3+1</f>
        <v>2016</v>
      </c>
      <c r="AF3" s="90">
        <f t="shared" si="0"/>
        <v>2017</v>
      </c>
      <c r="AG3" s="90">
        <f t="shared" si="0"/>
        <v>2018</v>
      </c>
      <c r="AH3" s="90">
        <f t="shared" si="0"/>
        <v>2019</v>
      </c>
      <c r="AI3" s="90">
        <f t="shared" si="0"/>
        <v>2020</v>
      </c>
      <c r="AJ3" s="90">
        <f t="shared" si="0"/>
        <v>2021</v>
      </c>
    </row>
    <row r="4" spans="1:36" ht="12.75">
      <c r="A4" s="319"/>
      <c r="B4" s="322"/>
      <c r="C4" s="91"/>
      <c r="D4" s="92">
        <v>1</v>
      </c>
      <c r="E4" s="92">
        <f aca="true" t="shared" si="1" ref="E4:O4">D4+1</f>
        <v>2</v>
      </c>
      <c r="F4" s="92">
        <f t="shared" si="1"/>
        <v>3</v>
      </c>
      <c r="G4" s="92">
        <f t="shared" si="1"/>
        <v>4</v>
      </c>
      <c r="H4" s="92">
        <f t="shared" si="1"/>
        <v>5</v>
      </c>
      <c r="I4" s="92">
        <f t="shared" si="1"/>
        <v>6</v>
      </c>
      <c r="J4" s="92">
        <f t="shared" si="1"/>
        <v>7</v>
      </c>
      <c r="K4" s="92">
        <f t="shared" si="1"/>
        <v>8</v>
      </c>
      <c r="L4" s="92">
        <f t="shared" si="1"/>
        <v>9</v>
      </c>
      <c r="M4" s="92">
        <f t="shared" si="1"/>
        <v>10</v>
      </c>
      <c r="N4" s="92">
        <f t="shared" si="1"/>
        <v>11</v>
      </c>
      <c r="O4" s="92">
        <f t="shared" si="1"/>
        <v>12</v>
      </c>
      <c r="P4" s="88" t="s">
        <v>0</v>
      </c>
      <c r="Q4" s="92">
        <v>1</v>
      </c>
      <c r="R4" s="92">
        <f aca="true" t="shared" si="2" ref="R4:AB4">Q4+1</f>
        <v>2</v>
      </c>
      <c r="S4" s="92">
        <f t="shared" si="2"/>
        <v>3</v>
      </c>
      <c r="T4" s="92">
        <f t="shared" si="2"/>
        <v>4</v>
      </c>
      <c r="U4" s="92">
        <f t="shared" si="2"/>
        <v>5</v>
      </c>
      <c r="V4" s="92">
        <f t="shared" si="2"/>
        <v>6</v>
      </c>
      <c r="W4" s="92">
        <f t="shared" si="2"/>
        <v>7</v>
      </c>
      <c r="X4" s="92">
        <f t="shared" si="2"/>
        <v>8</v>
      </c>
      <c r="Y4" s="92">
        <f t="shared" si="2"/>
        <v>9</v>
      </c>
      <c r="Z4" s="92">
        <f t="shared" si="2"/>
        <v>10</v>
      </c>
      <c r="AA4" s="92">
        <f t="shared" si="2"/>
        <v>11</v>
      </c>
      <c r="AB4" s="92">
        <f t="shared" si="2"/>
        <v>12</v>
      </c>
      <c r="AC4" s="88" t="s">
        <v>0</v>
      </c>
      <c r="AD4" s="88" t="s">
        <v>259</v>
      </c>
      <c r="AE4" s="88" t="s">
        <v>259</v>
      </c>
      <c r="AF4" s="88" t="s">
        <v>259</v>
      </c>
      <c r="AG4" s="88" t="s">
        <v>259</v>
      </c>
      <c r="AH4" s="88" t="s">
        <v>259</v>
      </c>
      <c r="AI4" s="88" t="s">
        <v>259</v>
      </c>
      <c r="AJ4" s="88" t="s">
        <v>259</v>
      </c>
    </row>
    <row r="5" spans="1:36" s="87" customFormat="1" ht="15" customHeight="1">
      <c r="A5" s="93" t="s">
        <v>103</v>
      </c>
      <c r="B5" s="94">
        <f>SUM(B6:B8)</f>
        <v>40425</v>
      </c>
      <c r="C5" s="95"/>
      <c r="D5" s="95">
        <f aca="true" t="shared" si="3" ref="D5:AJ5">SUM(D6:D8)</f>
        <v>0</v>
      </c>
      <c r="E5" s="95">
        <f t="shared" si="3"/>
        <v>0</v>
      </c>
      <c r="F5" s="95">
        <f t="shared" si="3"/>
        <v>0</v>
      </c>
      <c r="G5" s="95">
        <f t="shared" si="3"/>
        <v>0</v>
      </c>
      <c r="H5" s="95">
        <f t="shared" si="3"/>
        <v>0</v>
      </c>
      <c r="I5" s="95">
        <f t="shared" si="3"/>
        <v>0</v>
      </c>
      <c r="J5" s="95">
        <f t="shared" si="3"/>
        <v>0</v>
      </c>
      <c r="K5" s="95">
        <f t="shared" si="3"/>
        <v>0</v>
      </c>
      <c r="L5" s="95">
        <f t="shared" si="3"/>
        <v>0</v>
      </c>
      <c r="M5" s="95">
        <f t="shared" si="3"/>
        <v>0</v>
      </c>
      <c r="N5" s="95">
        <f t="shared" si="3"/>
        <v>231</v>
      </c>
      <c r="O5" s="95">
        <f t="shared" si="3"/>
        <v>252</v>
      </c>
      <c r="P5" s="95">
        <f t="shared" si="3"/>
        <v>483</v>
      </c>
      <c r="Q5" s="95">
        <f t="shared" si="3"/>
        <v>273</v>
      </c>
      <c r="R5" s="95">
        <f t="shared" si="3"/>
        <v>294</v>
      </c>
      <c r="S5" s="95">
        <f t="shared" si="3"/>
        <v>315</v>
      </c>
      <c r="T5" s="95">
        <f t="shared" si="3"/>
        <v>336</v>
      </c>
      <c r="U5" s="95">
        <f t="shared" si="3"/>
        <v>336</v>
      </c>
      <c r="V5" s="95">
        <f t="shared" si="3"/>
        <v>0</v>
      </c>
      <c r="W5" s="95">
        <f t="shared" si="3"/>
        <v>0</v>
      </c>
      <c r="X5" s="95">
        <f t="shared" si="3"/>
        <v>0</v>
      </c>
      <c r="Y5" s="95">
        <f t="shared" si="3"/>
        <v>336</v>
      </c>
      <c r="Z5" s="95">
        <f t="shared" si="3"/>
        <v>378</v>
      </c>
      <c r="AA5" s="95">
        <f t="shared" si="3"/>
        <v>420</v>
      </c>
      <c r="AB5" s="95">
        <f t="shared" si="3"/>
        <v>462</v>
      </c>
      <c r="AC5" s="95">
        <f t="shared" si="3"/>
        <v>3150</v>
      </c>
      <c r="AD5" s="95">
        <f t="shared" si="3"/>
        <v>4284</v>
      </c>
      <c r="AE5" s="95">
        <f t="shared" si="3"/>
        <v>4788</v>
      </c>
      <c r="AF5" s="95">
        <f t="shared" si="3"/>
        <v>5040</v>
      </c>
      <c r="AG5" s="95">
        <f t="shared" si="3"/>
        <v>5292</v>
      </c>
      <c r="AH5" s="95">
        <f t="shared" si="3"/>
        <v>5544</v>
      </c>
      <c r="AI5" s="95">
        <f t="shared" si="3"/>
        <v>5796</v>
      </c>
      <c r="AJ5" s="95">
        <f t="shared" si="3"/>
        <v>6048</v>
      </c>
    </row>
    <row r="6" spans="1:36" s="87" customFormat="1" ht="12.75">
      <c r="A6" s="96" t="str">
        <f>Услуги!A6</f>
        <v>Групповые занятия каратэ</v>
      </c>
      <c r="B6" s="94">
        <f>P6+AC6+AD6+AE6+AF6+AG6+AH6+AI6+AJ6</f>
        <v>14437.5</v>
      </c>
      <c r="C6" s="95"/>
      <c r="D6" s="97">
        <f>Услуги!D6</f>
        <v>0</v>
      </c>
      <c r="E6" s="97">
        <f>Услуги!E6</f>
        <v>0</v>
      </c>
      <c r="F6" s="97"/>
      <c r="G6" s="97"/>
      <c r="H6" s="97"/>
      <c r="I6" s="97"/>
      <c r="J6" s="97"/>
      <c r="K6" s="97">
        <f>Услуги!K6</f>
        <v>0</v>
      </c>
      <c r="L6" s="97">
        <f>Услуги!L6</f>
        <v>0</v>
      </c>
      <c r="M6" s="97">
        <f>Услуги!M6</f>
        <v>0</v>
      </c>
      <c r="N6" s="97">
        <f>Услуги!N6*Дох!$D$5/1000</f>
        <v>82.5</v>
      </c>
      <c r="O6" s="97">
        <f>Услуги!O6*Дох!$D$5/1000</f>
        <v>90</v>
      </c>
      <c r="P6" s="95">
        <f>SUM(D6:O6)</f>
        <v>172.5</v>
      </c>
      <c r="Q6" s="97">
        <f>Услуги!Q6*Дох!$D$5/1000</f>
        <v>97.5</v>
      </c>
      <c r="R6" s="97">
        <f>Услуги!R6*Дох!$D$5/1000</f>
        <v>105</v>
      </c>
      <c r="S6" s="97">
        <f>Услуги!S6*Дох!$D$5/1000</f>
        <v>112.5</v>
      </c>
      <c r="T6" s="97">
        <f>Услуги!T6*Дох!$D$5/1000</f>
        <v>120</v>
      </c>
      <c r="U6" s="97">
        <f>Услуги!U6*Дох!$D$5/1000</f>
        <v>120</v>
      </c>
      <c r="V6" s="97">
        <f>Услуги!V6*Дох!$D$5/1000</f>
        <v>0</v>
      </c>
      <c r="W6" s="97">
        <f>Услуги!W6*Дох!$D$5/1000</f>
        <v>0</v>
      </c>
      <c r="X6" s="97">
        <f>Услуги!X6*Дох!$D$5/1000</f>
        <v>0</v>
      </c>
      <c r="Y6" s="97">
        <f>Услуги!Y6*Дох!$D$5/1000</f>
        <v>120</v>
      </c>
      <c r="Z6" s="97">
        <f>Услуги!Z6*Дох!$D$5/1000</f>
        <v>135</v>
      </c>
      <c r="AA6" s="97">
        <f>Услуги!AA6*Дох!$D$5/1000</f>
        <v>150</v>
      </c>
      <c r="AB6" s="97">
        <f>Услуги!AB6*Дох!$D$5/1000</f>
        <v>165</v>
      </c>
      <c r="AC6" s="95">
        <f>SUM(Q6:AB6)</f>
        <v>1125</v>
      </c>
      <c r="AD6" s="97">
        <f>Услуги!AD6*Дох!$D$5/1000*12</f>
        <v>1530</v>
      </c>
      <c r="AE6" s="97">
        <f>Услуги!AE6*Дох!$D$5/1000*12</f>
        <v>1710</v>
      </c>
      <c r="AF6" s="97">
        <f>Услуги!AF6*Дох!$D$5/1000*12</f>
        <v>1800</v>
      </c>
      <c r="AG6" s="97">
        <f>Услуги!AG6*Дох!$D$5/1000*12</f>
        <v>1890</v>
      </c>
      <c r="AH6" s="97">
        <f>Услуги!AH6*Дох!$D$5/1000*12</f>
        <v>1980</v>
      </c>
      <c r="AI6" s="97">
        <f>Услуги!AI6*Дох!$D$5/1000*12</f>
        <v>2070</v>
      </c>
      <c r="AJ6" s="97">
        <f>Услуги!AJ6*Дох!$D$5/1000*12</f>
        <v>2160</v>
      </c>
    </row>
    <row r="7" spans="1:36" s="87" customFormat="1" ht="12.75">
      <c r="A7" s="96" t="str">
        <f>Услуги!A8</f>
        <v>Групповые занятия ушу, тхэквондо</v>
      </c>
      <c r="B7" s="94">
        <f>P7+AC7+AD7+AE7+AF7+AG7+AH7+AI7+AJ7</f>
        <v>14437.5</v>
      </c>
      <c r="C7" s="95"/>
      <c r="D7" s="97">
        <f>Услуги!D7</f>
        <v>0</v>
      </c>
      <c r="E7" s="97">
        <f>Услуги!E7</f>
        <v>0</v>
      </c>
      <c r="F7" s="97"/>
      <c r="G7" s="97"/>
      <c r="H7" s="97"/>
      <c r="I7" s="97"/>
      <c r="J7" s="97"/>
      <c r="K7" s="97">
        <f>Услуги!K7</f>
        <v>0</v>
      </c>
      <c r="L7" s="97">
        <f>Услуги!L7</f>
        <v>0</v>
      </c>
      <c r="M7" s="97">
        <f>Услуги!M7</f>
        <v>0</v>
      </c>
      <c r="N7" s="97">
        <f>Услуги!N8*Дох!$D$7/1000</f>
        <v>82.5</v>
      </c>
      <c r="O7" s="97">
        <f>Услуги!O8*Дох!$D$7/1000</f>
        <v>90</v>
      </c>
      <c r="P7" s="95">
        <f>SUM(D7:O7)</f>
        <v>172.5</v>
      </c>
      <c r="Q7" s="97">
        <f>Услуги!Q8*Дох!$D$7/1000</f>
        <v>97.5</v>
      </c>
      <c r="R7" s="97">
        <f>Услуги!R8*Дох!$D$7/1000</f>
        <v>105</v>
      </c>
      <c r="S7" s="97">
        <f>Услуги!S8*Дох!$D$7/1000</f>
        <v>112.5</v>
      </c>
      <c r="T7" s="97">
        <f>Услуги!T8*Дох!$D$7/1000</f>
        <v>120</v>
      </c>
      <c r="U7" s="97">
        <f>Услуги!U8*Дох!$D$7/1000</f>
        <v>120</v>
      </c>
      <c r="V7" s="97">
        <f>Услуги!V8*Дох!$D$7/1000</f>
        <v>0</v>
      </c>
      <c r="W7" s="97">
        <f>Услуги!W8*Дох!$D$7/1000</f>
        <v>0</v>
      </c>
      <c r="X7" s="97">
        <f>Услуги!X8*Дох!$D$7/1000</f>
        <v>0</v>
      </c>
      <c r="Y7" s="97">
        <f>Услуги!Y8*Дох!$D$7/1000</f>
        <v>120</v>
      </c>
      <c r="Z7" s="97">
        <f>Услуги!Z8*Дох!$D$7/1000</f>
        <v>135</v>
      </c>
      <c r="AA7" s="97">
        <f>Услуги!AA8*Дох!$D$7/1000</f>
        <v>150</v>
      </c>
      <c r="AB7" s="97">
        <f>Услуги!AB8*Дох!$D$7/1000</f>
        <v>165</v>
      </c>
      <c r="AC7" s="95">
        <f>SUM(Q7:AB7)</f>
        <v>1125</v>
      </c>
      <c r="AD7" s="97">
        <f>Услуги!AD8*Дох!$D$7/1000*12</f>
        <v>1530</v>
      </c>
      <c r="AE7" s="97">
        <f>Услуги!AE8*Дох!$D$7/1000*12</f>
        <v>1710</v>
      </c>
      <c r="AF7" s="97">
        <f>Услуги!AF8*Дох!$D$7/1000*12</f>
        <v>1800</v>
      </c>
      <c r="AG7" s="97">
        <f>Услуги!AG8*Дох!$D$7/1000*12</f>
        <v>1890</v>
      </c>
      <c r="AH7" s="97">
        <f>Услуги!AH8*Дох!$D$7/1000*12</f>
        <v>1980</v>
      </c>
      <c r="AI7" s="97">
        <f>Услуги!AI8*Дох!$D$7/1000*12</f>
        <v>2070</v>
      </c>
      <c r="AJ7" s="97">
        <f>Услуги!AJ8*Дох!$D$7/1000*12</f>
        <v>2160</v>
      </c>
    </row>
    <row r="8" spans="1:36" s="87" customFormat="1" ht="12.75">
      <c r="A8" s="96" t="str">
        <f>Услуги!A10</f>
        <v>Индивидуальные занятия</v>
      </c>
      <c r="B8" s="94">
        <f>P8+AC8+AD8+AE8+AF8+AG8+AH8+AI8+AJ8</f>
        <v>11550</v>
      </c>
      <c r="C8" s="95"/>
      <c r="D8" s="97">
        <f>Услуги!D10</f>
        <v>0</v>
      </c>
      <c r="E8" s="97">
        <f>Услуги!E10</f>
        <v>0</v>
      </c>
      <c r="F8" s="97"/>
      <c r="G8" s="97"/>
      <c r="H8" s="97"/>
      <c r="I8" s="97"/>
      <c r="J8" s="97"/>
      <c r="K8" s="97">
        <f>Услуги!K10</f>
        <v>0</v>
      </c>
      <c r="L8" s="97">
        <f>Услуги!L10</f>
        <v>0</v>
      </c>
      <c r="M8" s="97">
        <f>Услуги!M10</f>
        <v>0</v>
      </c>
      <c r="N8" s="97">
        <f>Услуги!N10*Дох!$D$9/1000</f>
        <v>66</v>
      </c>
      <c r="O8" s="97">
        <f>Услуги!O10*Дох!$D$9/1000</f>
        <v>72</v>
      </c>
      <c r="P8" s="95">
        <f>SUM(D8:O8)</f>
        <v>138</v>
      </c>
      <c r="Q8" s="97">
        <f>Услуги!Q10*Дох!$D$9/1000</f>
        <v>78</v>
      </c>
      <c r="R8" s="97">
        <f>Услуги!R10*Дох!$D$9/1000</f>
        <v>84</v>
      </c>
      <c r="S8" s="97">
        <f>Услуги!S10*Дох!$D$9/1000</f>
        <v>90</v>
      </c>
      <c r="T8" s="97">
        <f>Услуги!T10*Дох!$D$9/1000</f>
        <v>96</v>
      </c>
      <c r="U8" s="97">
        <f>Услуги!U10*Дох!$D$9/1000</f>
        <v>96</v>
      </c>
      <c r="V8" s="97">
        <f>Услуги!V10*Дох!$D$9/1000</f>
        <v>0</v>
      </c>
      <c r="W8" s="97">
        <f>Услуги!W10*Дох!$D$9/1000</f>
        <v>0</v>
      </c>
      <c r="X8" s="97">
        <f>Услуги!X10*Дох!$D$9/1000</f>
        <v>0</v>
      </c>
      <c r="Y8" s="97">
        <f>Услуги!Y10*Дох!$D$9/1000</f>
        <v>96</v>
      </c>
      <c r="Z8" s="97">
        <f>Услуги!Z10*Дох!$D$9/1000</f>
        <v>108</v>
      </c>
      <c r="AA8" s="97">
        <f>Услуги!AA10*Дох!$D$9/1000</f>
        <v>120</v>
      </c>
      <c r="AB8" s="97">
        <f>Услуги!AB10*Дох!$D$9/1000</f>
        <v>132</v>
      </c>
      <c r="AC8" s="95">
        <f>SUM(Q8:AB8)</f>
        <v>900</v>
      </c>
      <c r="AD8" s="97">
        <f>Услуги!AD10*Дох!$D$9/1000*12</f>
        <v>1224</v>
      </c>
      <c r="AE8" s="97">
        <f>Услуги!AE10*Дох!$D$9/1000*12</f>
        <v>1368</v>
      </c>
      <c r="AF8" s="97">
        <f>Услуги!AF10*Дох!$D$9/1000*12</f>
        <v>1440</v>
      </c>
      <c r="AG8" s="97">
        <f>Услуги!AG10*Дох!$D$9/1000*12</f>
        <v>1512</v>
      </c>
      <c r="AH8" s="97">
        <f>Услуги!AH10*Дох!$D$9/1000*12</f>
        <v>1584</v>
      </c>
      <c r="AI8" s="97">
        <f>Услуги!AI10*Дох!$D$9/1000*12</f>
        <v>1656</v>
      </c>
      <c r="AJ8" s="97">
        <f>Услуги!AJ10*Дох!$D$9/1000*12</f>
        <v>1728</v>
      </c>
    </row>
    <row r="9" spans="1:36" ht="15" customHeight="1">
      <c r="A9" s="93" t="s">
        <v>302</v>
      </c>
      <c r="B9" s="94">
        <f>SUM(B10:B11)</f>
        <v>15324</v>
      </c>
      <c r="C9" s="95"/>
      <c r="D9" s="95">
        <f aca="true" t="shared" si="4" ref="D9:AJ9">SUM(D10:D11)</f>
        <v>0</v>
      </c>
      <c r="E9" s="95">
        <f t="shared" si="4"/>
        <v>0</v>
      </c>
      <c r="F9" s="95">
        <f t="shared" si="4"/>
        <v>0</v>
      </c>
      <c r="G9" s="95">
        <f t="shared" si="4"/>
        <v>0</v>
      </c>
      <c r="H9" s="95">
        <f t="shared" si="4"/>
        <v>0</v>
      </c>
      <c r="I9" s="95">
        <f t="shared" si="4"/>
        <v>0</v>
      </c>
      <c r="J9" s="95">
        <f t="shared" si="4"/>
        <v>0</v>
      </c>
      <c r="K9" s="95">
        <f t="shared" si="4"/>
        <v>0</v>
      </c>
      <c r="L9" s="95">
        <f t="shared" si="4"/>
        <v>0</v>
      </c>
      <c r="M9" s="95">
        <f t="shared" si="4"/>
        <v>0</v>
      </c>
      <c r="N9" s="95">
        <f t="shared" si="4"/>
        <v>122.4</v>
      </c>
      <c r="O9" s="95">
        <f t="shared" si="4"/>
        <v>124.8</v>
      </c>
      <c r="P9" s="95">
        <f t="shared" si="4"/>
        <v>247.2</v>
      </c>
      <c r="Q9" s="95">
        <f t="shared" si="4"/>
        <v>127.2</v>
      </c>
      <c r="R9" s="95">
        <f t="shared" si="4"/>
        <v>129.6</v>
      </c>
      <c r="S9" s="95">
        <f t="shared" si="4"/>
        <v>132</v>
      </c>
      <c r="T9" s="95">
        <f t="shared" si="4"/>
        <v>134.4</v>
      </c>
      <c r="U9" s="95">
        <f t="shared" si="4"/>
        <v>134.4</v>
      </c>
      <c r="V9" s="95">
        <f t="shared" si="4"/>
        <v>0</v>
      </c>
      <c r="W9" s="95">
        <f t="shared" si="4"/>
        <v>0</v>
      </c>
      <c r="X9" s="95">
        <f t="shared" si="4"/>
        <v>0</v>
      </c>
      <c r="Y9" s="95">
        <f t="shared" si="4"/>
        <v>134.4</v>
      </c>
      <c r="Z9" s="95">
        <f t="shared" si="4"/>
        <v>187.2</v>
      </c>
      <c r="AA9" s="95">
        <f t="shared" si="4"/>
        <v>192</v>
      </c>
      <c r="AB9" s="95">
        <f t="shared" si="4"/>
        <v>196.8</v>
      </c>
      <c r="AC9" s="95">
        <f t="shared" si="4"/>
        <v>1368</v>
      </c>
      <c r="AD9" s="95">
        <f t="shared" si="4"/>
        <v>1785.6</v>
      </c>
      <c r="AE9" s="95">
        <f t="shared" si="4"/>
        <v>1843.2</v>
      </c>
      <c r="AF9" s="95">
        <f t="shared" si="4"/>
        <v>1872</v>
      </c>
      <c r="AG9" s="95">
        <f t="shared" si="4"/>
        <v>1900.8000000000002</v>
      </c>
      <c r="AH9" s="95">
        <f t="shared" si="4"/>
        <v>1929.6</v>
      </c>
      <c r="AI9" s="95">
        <f t="shared" si="4"/>
        <v>1958.4</v>
      </c>
      <c r="AJ9" s="95">
        <f t="shared" si="4"/>
        <v>2419.2</v>
      </c>
    </row>
    <row r="10" spans="1:36" ht="12.75">
      <c r="A10" s="96" t="s">
        <v>199</v>
      </c>
      <c r="B10" s="94">
        <f>P10+AC10+AD10+AE10+AF10+AG10+AH10+AI10+AJ10</f>
        <v>15324</v>
      </c>
      <c r="C10" s="95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>
        <f>Услуги!N7*'Расх перем'!$D$5+Услуги!N9*'Расх перем'!$D$6+'2-ф2'!N8*'Расх перем'!$D$7</f>
        <v>122.4</v>
      </c>
      <c r="O10" s="97">
        <f>Услуги!O7*'Расх перем'!$D$5+Услуги!O9*'Расх перем'!$D$6+'2-ф2'!O8*'Расх перем'!$D$7</f>
        <v>124.8</v>
      </c>
      <c r="P10" s="95">
        <f>SUM(D10:O10)</f>
        <v>247.2</v>
      </c>
      <c r="Q10" s="97">
        <f>Услуги!Q7*'Расх перем'!$D$5+Услуги!Q9*'Расх перем'!$D$6+'2-ф2'!Q8*'Расх перем'!$D$7</f>
        <v>127.2</v>
      </c>
      <c r="R10" s="97">
        <f>Услуги!R7*'Расх перем'!$D$5+Услуги!R9*'Расх перем'!$D$6+'2-ф2'!R8*'Расх перем'!$D$7</f>
        <v>129.6</v>
      </c>
      <c r="S10" s="97">
        <f>Услуги!S7*'Расх перем'!$D$5+Услуги!S9*'Расх перем'!$D$6+'2-ф2'!S8*'Расх перем'!$D$7</f>
        <v>132</v>
      </c>
      <c r="T10" s="97">
        <f>Услуги!T7*'Расх перем'!$D$5+Услуги!T9*'Расх перем'!$D$6+'2-ф2'!T8*'Расх перем'!$D$7</f>
        <v>134.4</v>
      </c>
      <c r="U10" s="97">
        <f>Услуги!U7*'Расх перем'!$D$5+Услуги!U9*'Расх перем'!$D$6+'2-ф2'!U8*'Расх перем'!$D$7</f>
        <v>134.4</v>
      </c>
      <c r="V10" s="97">
        <f>Услуги!V7*'Расх перем'!$D$5+Услуги!V9*'Расх перем'!$D$6+'2-ф2'!V8*'Расх перем'!$D$7</f>
        <v>0</v>
      </c>
      <c r="W10" s="97">
        <f>Услуги!W7*'Расх перем'!$D$5+Услуги!W9*'Расх перем'!$D$6+'2-ф2'!W8*'Расх перем'!$D$7</f>
        <v>0</v>
      </c>
      <c r="X10" s="97">
        <f>Услуги!X7*'Расх перем'!$D$5+Услуги!X9*'Расх перем'!$D$6+'2-ф2'!X8*'Расх перем'!$D$7</f>
        <v>0</v>
      </c>
      <c r="Y10" s="97">
        <f>Услуги!Y7*'Расх перем'!$D$5+Услуги!Y9*'Расх перем'!$D$6+'2-ф2'!Y8*'Расх перем'!$D$7</f>
        <v>134.4</v>
      </c>
      <c r="Z10" s="97">
        <f>Услуги!Z7*'Расх перем'!$D$5+Услуги!Z9*'Расх перем'!$D$6+'2-ф2'!Z8*'Расх перем'!$D$7</f>
        <v>187.2</v>
      </c>
      <c r="AA10" s="97">
        <f>Услуги!AA7*'Расх перем'!$D$5+Услуги!AA9*'Расх перем'!$D$6+'2-ф2'!AA8*'Расх перем'!$D$7</f>
        <v>192</v>
      </c>
      <c r="AB10" s="97">
        <f>Услуги!AB7*'Расх перем'!$D$5+Услуги!AB9*'Расх перем'!$D$6+'2-ф2'!AB8*'Расх перем'!$D$7</f>
        <v>196.8</v>
      </c>
      <c r="AC10" s="95">
        <f>SUM(Q10:AB10)</f>
        <v>1368</v>
      </c>
      <c r="AD10" s="97">
        <f>(Услуги!AD7*'Расх перем'!$D$5+Услуги!AD9*'Расх перем'!$D$6)*9+'2-ф2'!AD8*'Расх перем'!$D$7</f>
        <v>1785.6</v>
      </c>
      <c r="AE10" s="97">
        <f>(Услуги!AE7*'Расх перем'!$D$5+Услуги!AE9*'Расх перем'!$D$6)*9+'2-ф2'!AE8*'Расх перем'!$D$7</f>
        <v>1843.2</v>
      </c>
      <c r="AF10" s="97">
        <f>(Услуги!AF7*'Расх перем'!$D$5+Услуги!AF9*'Расх перем'!$D$6)*9+'2-ф2'!AF8*'Расх перем'!$D$7</f>
        <v>1872</v>
      </c>
      <c r="AG10" s="97">
        <f>(Услуги!AG7*'Расх перем'!$D$5+Услуги!AG9*'Расх перем'!$D$6)*9+'2-ф2'!AG8*'Расх перем'!$D$7</f>
        <v>1900.8000000000002</v>
      </c>
      <c r="AH10" s="97">
        <f>(Услуги!AH7*'Расх перем'!$D$5+Услуги!AH9*'Расх перем'!$D$6)*9+'2-ф2'!AH8*'Расх перем'!$D$7</f>
        <v>1929.6</v>
      </c>
      <c r="AI10" s="97">
        <f>(Услуги!AI7*'Расх перем'!$D$5+Услуги!AI9*'Расх перем'!$D$6)*9+'2-ф2'!AI8*'Расх перем'!$D$7</f>
        <v>1958.4</v>
      </c>
      <c r="AJ10" s="97">
        <f>(Услуги!AJ7*'Расх перем'!$D$5+Услуги!AJ9*'Расх перем'!$D$6)*9+'2-ф2'!AJ8*'Расх перем'!$D$7</f>
        <v>2419.2</v>
      </c>
    </row>
    <row r="11" spans="1:36" ht="12.75">
      <c r="A11" s="96"/>
      <c r="B11" s="94"/>
      <c r="C11" s="95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5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5"/>
      <c r="AD11" s="97"/>
      <c r="AE11" s="97"/>
      <c r="AF11" s="97"/>
      <c r="AG11" s="97"/>
      <c r="AH11" s="97"/>
      <c r="AI11" s="97"/>
      <c r="AJ11" s="97"/>
    </row>
    <row r="12" spans="1:36" s="87" customFormat="1" ht="15" customHeight="1">
      <c r="A12" s="93" t="s">
        <v>14</v>
      </c>
      <c r="B12" s="94">
        <f>B5-B9</f>
        <v>25101</v>
      </c>
      <c r="C12" s="98"/>
      <c r="D12" s="95">
        <f aca="true" t="shared" si="5" ref="D12:AJ12">D5-D9</f>
        <v>0</v>
      </c>
      <c r="E12" s="95">
        <f t="shared" si="5"/>
        <v>0</v>
      </c>
      <c r="F12" s="95">
        <f t="shared" si="5"/>
        <v>0</v>
      </c>
      <c r="G12" s="95">
        <f t="shared" si="5"/>
        <v>0</v>
      </c>
      <c r="H12" s="95">
        <f t="shared" si="5"/>
        <v>0</v>
      </c>
      <c r="I12" s="95">
        <f t="shared" si="5"/>
        <v>0</v>
      </c>
      <c r="J12" s="95">
        <f t="shared" si="5"/>
        <v>0</v>
      </c>
      <c r="K12" s="95">
        <f t="shared" si="5"/>
        <v>0</v>
      </c>
      <c r="L12" s="95">
        <f t="shared" si="5"/>
        <v>0</v>
      </c>
      <c r="M12" s="95">
        <f t="shared" si="5"/>
        <v>0</v>
      </c>
      <c r="N12" s="95">
        <f t="shared" si="5"/>
        <v>108.6</v>
      </c>
      <c r="O12" s="95">
        <f t="shared" si="5"/>
        <v>127.2</v>
      </c>
      <c r="P12" s="95">
        <f t="shared" si="5"/>
        <v>235.8</v>
      </c>
      <c r="Q12" s="95">
        <f t="shared" si="5"/>
        <v>145.8</v>
      </c>
      <c r="R12" s="95">
        <f t="shared" si="5"/>
        <v>164.4</v>
      </c>
      <c r="S12" s="95">
        <f t="shared" si="5"/>
        <v>183</v>
      </c>
      <c r="T12" s="95">
        <f t="shared" si="5"/>
        <v>201.6</v>
      </c>
      <c r="U12" s="95">
        <f t="shared" si="5"/>
        <v>201.6</v>
      </c>
      <c r="V12" s="95">
        <f t="shared" si="5"/>
        <v>0</v>
      </c>
      <c r="W12" s="95">
        <f t="shared" si="5"/>
        <v>0</v>
      </c>
      <c r="X12" s="95">
        <f t="shared" si="5"/>
        <v>0</v>
      </c>
      <c r="Y12" s="95">
        <f t="shared" si="5"/>
        <v>201.6</v>
      </c>
      <c r="Z12" s="95">
        <f t="shared" si="5"/>
        <v>190.8</v>
      </c>
      <c r="AA12" s="95">
        <f t="shared" si="5"/>
        <v>228</v>
      </c>
      <c r="AB12" s="95">
        <f t="shared" si="5"/>
        <v>265.2</v>
      </c>
      <c r="AC12" s="95">
        <f t="shared" si="5"/>
        <v>1782</v>
      </c>
      <c r="AD12" s="95">
        <f t="shared" si="5"/>
        <v>2498.4</v>
      </c>
      <c r="AE12" s="95">
        <f t="shared" si="5"/>
        <v>2944.8</v>
      </c>
      <c r="AF12" s="95">
        <f t="shared" si="5"/>
        <v>3168</v>
      </c>
      <c r="AG12" s="95">
        <f t="shared" si="5"/>
        <v>3391.2</v>
      </c>
      <c r="AH12" s="95">
        <f t="shared" si="5"/>
        <v>3614.4</v>
      </c>
      <c r="AI12" s="95">
        <f t="shared" si="5"/>
        <v>3837.6</v>
      </c>
      <c r="AJ12" s="95">
        <f t="shared" si="5"/>
        <v>3628.8</v>
      </c>
    </row>
    <row r="13" spans="1:36" ht="15" customHeight="1">
      <c r="A13" s="99" t="s">
        <v>133</v>
      </c>
      <c r="B13" s="94">
        <f>P13+AC13+AD13+AE13+AF13+AG13+AH13+AI13+AJ13</f>
        <v>10820.353886228566</v>
      </c>
      <c r="C13" s="95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>
        <f>Пост!$C$13+Пост!$C$15+Пост!$C$18</f>
        <v>88.09719849999999</v>
      </c>
      <c r="O13" s="97">
        <f>Пост!$C$13+Пост!$C$15+Пост!$C$18</f>
        <v>88.09719849999999</v>
      </c>
      <c r="P13" s="95">
        <f aca="true" t="shared" si="6" ref="P13:P18">SUM(D13:O13)</f>
        <v>176.19439699999998</v>
      </c>
      <c r="Q13" s="97">
        <f>Пост!$D$13+Пост!$D$15+Пост!$D$18</f>
        <v>92.70205842499999</v>
      </c>
      <c r="R13" s="97">
        <f>Пост!$D$13+Пост!$D$15+Пост!$D$18</f>
        <v>92.70205842499999</v>
      </c>
      <c r="S13" s="97">
        <f>Пост!$D$13+Пост!$D$15+Пост!$D$18</f>
        <v>92.70205842499999</v>
      </c>
      <c r="T13" s="97">
        <f>Пост!$D$13+Пост!$D$15+Пост!$D$18</f>
        <v>92.70205842499999</v>
      </c>
      <c r="U13" s="97">
        <f>Пост!$D$13+Пост!$D$15+Пост!$D$18</f>
        <v>92.70205842499999</v>
      </c>
      <c r="V13" s="97">
        <f>Пост!$D$13+Пост!$D$15+Пост!$D$18</f>
        <v>92.70205842499999</v>
      </c>
      <c r="W13" s="97">
        <f>Пост!$D$13+Пост!$D$15+Пост!$D$18</f>
        <v>92.70205842499999</v>
      </c>
      <c r="X13" s="97">
        <f>Пост!$D$13+Пост!$D$15+Пост!$D$18</f>
        <v>92.70205842499999</v>
      </c>
      <c r="Y13" s="97">
        <f>Пост!$D$13+Пост!$D$15+Пост!$D$18</f>
        <v>92.70205842499999</v>
      </c>
      <c r="Z13" s="97">
        <f>Пост!$D$13+Пост!$D$15+Пост!$D$18</f>
        <v>92.70205842499999</v>
      </c>
      <c r="AA13" s="97">
        <f>Пост!$D$13+Пост!$D$15+Пост!$D$18</f>
        <v>92.70205842499999</v>
      </c>
      <c r="AB13" s="97">
        <f>Пост!$D$13+Пост!$D$15+Пост!$D$18</f>
        <v>92.70205842499999</v>
      </c>
      <c r="AC13" s="95">
        <f aca="true" t="shared" si="7" ref="AC13:AC18">SUM(Q13:AB13)</f>
        <v>1112.4247011</v>
      </c>
      <c r="AD13" s="97">
        <f>(Пост!E13+Пост!E15+Пост!E18)*12</f>
        <v>1170.6859361550003</v>
      </c>
      <c r="AE13" s="97">
        <f>(Пост!F13+Пост!F15+Пост!F18)*12</f>
        <v>1229.22023296275</v>
      </c>
      <c r="AF13" s="97">
        <f>(Пост!G13+Пост!G15+Пост!G18)*12</f>
        <v>1290.6812446108877</v>
      </c>
      <c r="AG13" s="97">
        <f>(Пост!H13+Пост!H15+Пост!H18)*12</f>
        <v>1355.2153068414318</v>
      </c>
      <c r="AH13" s="97">
        <f>(Пост!I13+Пост!I15+Пост!I18)*12</f>
        <v>1422.9760721835034</v>
      </c>
      <c r="AI13" s="97">
        <f>(Пост!J13+Пост!J15+Пост!J18)*12</f>
        <v>1494.1248757926787</v>
      </c>
      <c r="AJ13" s="97">
        <f>(Пост!K13+Пост!K15+Пост!K18)*12</f>
        <v>1568.8311195823128</v>
      </c>
    </row>
    <row r="14" spans="1:36" ht="15" customHeight="1">
      <c r="A14" s="99" t="s">
        <v>69</v>
      </c>
      <c r="B14" s="94">
        <f>P14+AC14+AD14+AE14+AF14+AG14+AH14+AI14+AJ14</f>
        <v>677.3529411764705</v>
      </c>
      <c r="C14" s="95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>
        <f>Пост!$C$28/2</f>
        <v>6.911764705882352</v>
      </c>
      <c r="O14" s="97">
        <f>Пост!$C$28/2</f>
        <v>6.911764705882352</v>
      </c>
      <c r="P14" s="95">
        <f t="shared" si="6"/>
        <v>13.823529411764705</v>
      </c>
      <c r="Q14" s="97">
        <f>Пост!$D$28/12</f>
        <v>6.911764705882352</v>
      </c>
      <c r="R14" s="97">
        <f>Пост!$D$28/12</f>
        <v>6.911764705882352</v>
      </c>
      <c r="S14" s="97">
        <f>Пост!$D$28/12</f>
        <v>6.911764705882352</v>
      </c>
      <c r="T14" s="97">
        <f>Пост!$D$28/12</f>
        <v>6.911764705882352</v>
      </c>
      <c r="U14" s="97">
        <f>Пост!$D$28/12</f>
        <v>6.911764705882352</v>
      </c>
      <c r="V14" s="97">
        <f>Пост!$D$28/12</f>
        <v>6.911764705882352</v>
      </c>
      <c r="W14" s="97">
        <f>Пост!$D$28/12</f>
        <v>6.911764705882352</v>
      </c>
      <c r="X14" s="97">
        <f>Пост!$D$28/12</f>
        <v>6.911764705882352</v>
      </c>
      <c r="Y14" s="97">
        <f>Пост!$D$28/12</f>
        <v>6.911764705882352</v>
      </c>
      <c r="Z14" s="97">
        <f>Пост!$D$28/12</f>
        <v>6.911764705882352</v>
      </c>
      <c r="AA14" s="97">
        <f>Пост!$D$28/12</f>
        <v>6.911764705882352</v>
      </c>
      <c r="AB14" s="97">
        <f>Пост!$D$28/12</f>
        <v>6.911764705882352</v>
      </c>
      <c r="AC14" s="95">
        <f t="shared" si="7"/>
        <v>82.94117647058823</v>
      </c>
      <c r="AD14" s="97">
        <f>Пост!E28</f>
        <v>82.94117647058823</v>
      </c>
      <c r="AE14" s="97">
        <f>Пост!F28</f>
        <v>82.94117647058823</v>
      </c>
      <c r="AF14" s="97">
        <f>Пост!G28</f>
        <v>82.94117647058823</v>
      </c>
      <c r="AG14" s="97">
        <f>Пост!H28</f>
        <v>82.94117647058823</v>
      </c>
      <c r="AH14" s="97">
        <f>Пост!I28</f>
        <v>82.94117647058823</v>
      </c>
      <c r="AI14" s="97">
        <f>Пост!J28</f>
        <v>82.94117647058823</v>
      </c>
      <c r="AJ14" s="97">
        <f>Пост!K28</f>
        <v>82.94117647058823</v>
      </c>
    </row>
    <row r="15" spans="1:36" ht="15" customHeight="1">
      <c r="A15" s="99" t="s">
        <v>23</v>
      </c>
      <c r="B15" s="94">
        <f>P15+AC15+AD15+AE15+AF15+AG15+AH15+AI15+AJ15</f>
        <v>71.75479382783054</v>
      </c>
      <c r="C15" s="95"/>
      <c r="D15" s="97">
        <f>кр!C9</f>
        <v>0</v>
      </c>
      <c r="E15" s="97">
        <f>кр!D9</f>
        <v>0</v>
      </c>
      <c r="F15" s="97">
        <f>кр!E9</f>
        <v>0</v>
      </c>
      <c r="G15" s="97">
        <f>кр!F9</f>
        <v>0</v>
      </c>
      <c r="H15" s="97">
        <f>кр!G9</f>
        <v>0</v>
      </c>
      <c r="I15" s="97">
        <f>кр!H9</f>
        <v>0</v>
      </c>
      <c r="J15" s="97">
        <f>кр!I9</f>
        <v>0</v>
      </c>
      <c r="K15" s="97">
        <f>кр!J9</f>
        <v>0</v>
      </c>
      <c r="L15" s="97">
        <f>кр!K9</f>
        <v>0</v>
      </c>
      <c r="M15" s="97">
        <f>кр!L9</f>
        <v>0</v>
      </c>
      <c r="N15" s="97">
        <f>кр!M9</f>
        <v>3.4956250000000004</v>
      </c>
      <c r="O15" s="97">
        <f>кр!N9</f>
        <v>3.4956250000000004</v>
      </c>
      <c r="P15" s="95">
        <f t="shared" si="6"/>
        <v>6.991250000000001</v>
      </c>
      <c r="Q15" s="97">
        <f>кр!P9</f>
        <v>3.4956250000000004</v>
      </c>
      <c r="R15" s="97">
        <f>кр!Q9</f>
        <v>3.4956250000000004</v>
      </c>
      <c r="S15" s="97">
        <f>кр!R9</f>
        <v>3.399257927858718</v>
      </c>
      <c r="T15" s="97">
        <f>кр!S9</f>
        <v>3.302328714463277</v>
      </c>
      <c r="U15" s="97">
        <f>кр!T9</f>
        <v>3.2048340806563638</v>
      </c>
      <c r="V15" s="97">
        <f>кр!U9</f>
        <v>3.1067707281522434</v>
      </c>
      <c r="W15" s="97">
        <f>кр!V9</f>
        <v>3.0081353394251824</v>
      </c>
      <c r="X15" s="97">
        <f>кр!W9</f>
        <v>2.908924577597213</v>
      </c>
      <c r="Y15" s="97">
        <f>кр!X9</f>
        <v>2.8091350863252473</v>
      </c>
      <c r="Z15" s="97">
        <f>кр!Y9</f>
        <v>2.7087634896875286</v>
      </c>
      <c r="AA15" s="97">
        <f>кр!Z9</f>
        <v>2.6078063920694228</v>
      </c>
      <c r="AB15" s="97">
        <f>кр!AA9</f>
        <v>2.5062603780485446</v>
      </c>
      <c r="AC15" s="95">
        <f t="shared" si="7"/>
        <v>36.553466714283736</v>
      </c>
      <c r="AD15" s="97">
        <f>кр!AO9</f>
        <v>21.935419857335763</v>
      </c>
      <c r="AE15" s="97">
        <f>кр!BB9</f>
        <v>6.274657256210402</v>
      </c>
      <c r="AF15" s="97">
        <f>кр!BO9</f>
        <v>1.2434497875801753E-13</v>
      </c>
      <c r="AG15" s="97">
        <f>кр!CB9</f>
        <v>1.2434497875801753E-13</v>
      </c>
      <c r="AH15" s="97">
        <f>кр!CO9</f>
        <v>1.2434497875801753E-13</v>
      </c>
      <c r="AI15" s="97">
        <f>кр!DB9</f>
        <v>1.2434497875801753E-13</v>
      </c>
      <c r="AJ15" s="97">
        <f>кр!DO9</f>
        <v>1.2434497875801753E-13</v>
      </c>
    </row>
    <row r="16" spans="1:36" ht="15" customHeight="1">
      <c r="A16" s="99" t="s">
        <v>178</v>
      </c>
      <c r="B16" s="94">
        <f>B12-B13-B14-B15</f>
        <v>13531.538378767133</v>
      </c>
      <c r="C16" s="98"/>
      <c r="D16" s="97">
        <f>D12-D13-D15-D14</f>
        <v>0</v>
      </c>
      <c r="E16" s="97">
        <f aca="true" t="shared" si="8" ref="E16:O16">E12-E13-E15-E14</f>
        <v>0</v>
      </c>
      <c r="F16" s="97">
        <f t="shared" si="8"/>
        <v>0</v>
      </c>
      <c r="G16" s="97">
        <f t="shared" si="8"/>
        <v>0</v>
      </c>
      <c r="H16" s="97">
        <f t="shared" si="8"/>
        <v>0</v>
      </c>
      <c r="I16" s="97">
        <f t="shared" si="8"/>
        <v>0</v>
      </c>
      <c r="J16" s="97">
        <f t="shared" si="8"/>
        <v>0</v>
      </c>
      <c r="K16" s="97">
        <f t="shared" si="8"/>
        <v>0</v>
      </c>
      <c r="L16" s="97">
        <f t="shared" si="8"/>
        <v>0</v>
      </c>
      <c r="M16" s="97">
        <f t="shared" si="8"/>
        <v>0</v>
      </c>
      <c r="N16" s="97">
        <f t="shared" si="8"/>
        <v>10.095411794117652</v>
      </c>
      <c r="O16" s="97">
        <f t="shared" si="8"/>
        <v>28.695411794117657</v>
      </c>
      <c r="P16" s="95">
        <f t="shared" si="6"/>
        <v>38.79082358823531</v>
      </c>
      <c r="Q16" s="97">
        <f aca="true" t="shared" si="9" ref="Q16:AB16">Q12-Q13-Q15-Q14</f>
        <v>42.69055186911766</v>
      </c>
      <c r="R16" s="97">
        <f t="shared" si="9"/>
        <v>61.29055186911766</v>
      </c>
      <c r="S16" s="97">
        <f t="shared" si="9"/>
        <v>79.98691894125895</v>
      </c>
      <c r="T16" s="97">
        <f t="shared" si="9"/>
        <v>98.68384815465438</v>
      </c>
      <c r="U16" s="97">
        <f t="shared" si="9"/>
        <v>98.78134278846129</v>
      </c>
      <c r="V16" s="97">
        <f t="shared" si="9"/>
        <v>-102.72059385903458</v>
      </c>
      <c r="W16" s="97">
        <f t="shared" si="9"/>
        <v>-102.62195847030752</v>
      </c>
      <c r="X16" s="97">
        <f t="shared" si="9"/>
        <v>-102.52274770847956</v>
      </c>
      <c r="Y16" s="97">
        <f t="shared" si="9"/>
        <v>99.17704178279241</v>
      </c>
      <c r="Z16" s="97">
        <f t="shared" si="9"/>
        <v>88.47741337943015</v>
      </c>
      <c r="AA16" s="97">
        <f t="shared" si="9"/>
        <v>125.77837047704824</v>
      </c>
      <c r="AB16" s="97">
        <f t="shared" si="9"/>
        <v>163.0799164910691</v>
      </c>
      <c r="AC16" s="95">
        <f t="shared" si="7"/>
        <v>550.0806557151283</v>
      </c>
      <c r="AD16" s="97">
        <f aca="true" t="shared" si="10" ref="AD16:AI16">AD12-AD13-AD15-AD14</f>
        <v>1222.8374675170758</v>
      </c>
      <c r="AE16" s="97">
        <f t="shared" si="10"/>
        <v>1626.3639333104513</v>
      </c>
      <c r="AF16" s="97">
        <f t="shared" si="10"/>
        <v>1794.3775789185238</v>
      </c>
      <c r="AG16" s="97">
        <f t="shared" si="10"/>
        <v>1953.0435166879795</v>
      </c>
      <c r="AH16" s="97">
        <f t="shared" si="10"/>
        <v>2108.4827513459086</v>
      </c>
      <c r="AI16" s="97">
        <f t="shared" si="10"/>
        <v>2260.533947736733</v>
      </c>
      <c r="AJ16" s="97">
        <f>AJ12-AJ13-AJ15-AJ14</f>
        <v>1977.0277039470993</v>
      </c>
    </row>
    <row r="17" spans="1:36" ht="15" customHeight="1">
      <c r="A17" s="99" t="s">
        <v>281</v>
      </c>
      <c r="B17" s="94">
        <f>P17+AC17+AD17+AE17+AF17+AG17+AH17+AI17+AJ17</f>
        <v>1212.75</v>
      </c>
      <c r="C17" s="95"/>
      <c r="D17" s="97"/>
      <c r="E17" s="130">
        <f>IF(E16+D19&lt;0,0,IF(D19&lt;0,(D19+E16)*Исх!$C$22,E16*Исх!$C$22))</f>
        <v>0</v>
      </c>
      <c r="F17" s="130">
        <f>IF(F16+E19&lt;0,0,IF(E19&lt;0,(E19+F16)*Исх!$C$22,F16*Исх!$C$22))</f>
        <v>0</v>
      </c>
      <c r="G17" s="130">
        <f>IF(G16+F19&lt;0,0,IF(F19&lt;0,(F19+G16)*Исх!$C$22,G16*Исх!$C$22))</f>
        <v>0</v>
      </c>
      <c r="H17" s="130">
        <f>IF(H16+G19&lt;0,0,IF(G19&lt;0,(G19+H16)*Исх!$C$22,H16*Исх!$C$22))</f>
        <v>0</v>
      </c>
      <c r="I17" s="130">
        <f>IF(I16+H19&lt;0,0,IF(H19&lt;0,(H19+I16)*Исх!$C$22,I16*Исх!$C$22))</f>
        <v>0</v>
      </c>
      <c r="J17" s="130">
        <f>IF(J16+I19&lt;0,0,IF(I19&lt;0,(I19+J16)*Исх!$C$22,J16*Исх!$C$22))</f>
        <v>0</v>
      </c>
      <c r="K17" s="130">
        <f>IF(K16+J19&lt;0,0,IF(J19&lt;0,(J19+K16)*Исх!$C$22,K16*Исх!$C$22))</f>
        <v>0</v>
      </c>
      <c r="L17" s="130">
        <f>IF(L16+K19&lt;0,0,IF(K19&lt;0,(K19+L16)*Исх!$C$22,L16*Исх!$C$22))</f>
        <v>0</v>
      </c>
      <c r="M17" s="130">
        <f>IF(M16+L19&lt;0,0,IF(L19&lt;0,(L19+M16)*Исх!$C$22,M16*Исх!$C$22))</f>
        <v>0</v>
      </c>
      <c r="N17" s="130">
        <f>N5*Исх!$C$22</f>
        <v>6.93</v>
      </c>
      <c r="O17" s="130">
        <f>O5*Исх!$C$22</f>
        <v>7.56</v>
      </c>
      <c r="P17" s="95">
        <f t="shared" si="6"/>
        <v>14.489999999999998</v>
      </c>
      <c r="Q17" s="130">
        <f>Q5*Исх!$C$22</f>
        <v>8.19</v>
      </c>
      <c r="R17" s="130">
        <f>R5*Исх!$C$22</f>
        <v>8.82</v>
      </c>
      <c r="S17" s="130">
        <f>S5*Исх!$C$22</f>
        <v>9.45</v>
      </c>
      <c r="T17" s="130">
        <f>T5*Исх!$C$22</f>
        <v>10.08</v>
      </c>
      <c r="U17" s="130">
        <f>U5*Исх!$C$22</f>
        <v>10.08</v>
      </c>
      <c r="V17" s="130">
        <f>V5*Исх!$C$22</f>
        <v>0</v>
      </c>
      <c r="W17" s="130">
        <f>W5*Исх!$C$22</f>
        <v>0</v>
      </c>
      <c r="X17" s="130">
        <f>X5*Исх!$C$22</f>
        <v>0</v>
      </c>
      <c r="Y17" s="130">
        <f>Y5*Исх!$C$22</f>
        <v>10.08</v>
      </c>
      <c r="Z17" s="130">
        <f>Z5*Исх!$C$22</f>
        <v>11.34</v>
      </c>
      <c r="AA17" s="130">
        <f>AA5*Исх!$C$22</f>
        <v>12.6</v>
      </c>
      <c r="AB17" s="130">
        <f>AB5*Исх!$C$22</f>
        <v>13.86</v>
      </c>
      <c r="AC17" s="95">
        <f t="shared" si="7"/>
        <v>94.49999999999999</v>
      </c>
      <c r="AD17" s="130">
        <f>AD5*Исх!$C$22</f>
        <v>128.51999999999998</v>
      </c>
      <c r="AE17" s="130">
        <f>AE5*Исх!$C$22</f>
        <v>143.64</v>
      </c>
      <c r="AF17" s="130">
        <f>AF5*Исх!$C$22</f>
        <v>151.2</v>
      </c>
      <c r="AG17" s="130">
        <f>AG5*Исх!$C$22</f>
        <v>158.76</v>
      </c>
      <c r="AH17" s="130">
        <f>AH5*Исх!$C$22</f>
        <v>166.32</v>
      </c>
      <c r="AI17" s="130">
        <f>AI5*Исх!$C$22</f>
        <v>173.88</v>
      </c>
      <c r="AJ17" s="130">
        <f>AJ5*Исх!$C$22</f>
        <v>181.44</v>
      </c>
    </row>
    <row r="18" spans="1:36" ht="15" customHeight="1">
      <c r="A18" s="99" t="s">
        <v>216</v>
      </c>
      <c r="B18" s="94">
        <f>B16-B17</f>
        <v>12318.788378767133</v>
      </c>
      <c r="C18" s="98"/>
      <c r="D18" s="97">
        <f aca="true" t="shared" si="11" ref="D18:Q18">D16-D17</f>
        <v>0</v>
      </c>
      <c r="E18" s="97">
        <f>E16-E17</f>
        <v>0</v>
      </c>
      <c r="F18" s="97">
        <f t="shared" si="11"/>
        <v>0</v>
      </c>
      <c r="G18" s="97">
        <f t="shared" si="11"/>
        <v>0</v>
      </c>
      <c r="H18" s="97">
        <f t="shared" si="11"/>
        <v>0</v>
      </c>
      <c r="I18" s="97">
        <f t="shared" si="11"/>
        <v>0</v>
      </c>
      <c r="J18" s="97">
        <f t="shared" si="11"/>
        <v>0</v>
      </c>
      <c r="K18" s="97">
        <f t="shared" si="11"/>
        <v>0</v>
      </c>
      <c r="L18" s="97">
        <f t="shared" si="11"/>
        <v>0</v>
      </c>
      <c r="M18" s="97">
        <f t="shared" si="11"/>
        <v>0</v>
      </c>
      <c r="N18" s="97">
        <f t="shared" si="11"/>
        <v>3.1654117941176523</v>
      </c>
      <c r="O18" s="97">
        <f t="shared" si="11"/>
        <v>21.13541179411766</v>
      </c>
      <c r="P18" s="95">
        <f t="shared" si="6"/>
        <v>24.30082358823531</v>
      </c>
      <c r="Q18" s="97">
        <f t="shared" si="11"/>
        <v>34.500551869117665</v>
      </c>
      <c r="R18" s="97">
        <f aca="true" t="shared" si="12" ref="R18:AF18">R16-R17</f>
        <v>52.47055186911766</v>
      </c>
      <c r="S18" s="97">
        <f t="shared" si="12"/>
        <v>70.53691894125895</v>
      </c>
      <c r="T18" s="97">
        <f t="shared" si="12"/>
        <v>88.60384815465439</v>
      </c>
      <c r="U18" s="97">
        <f t="shared" si="12"/>
        <v>88.70134278846129</v>
      </c>
      <c r="V18" s="97">
        <f t="shared" si="12"/>
        <v>-102.72059385903458</v>
      </c>
      <c r="W18" s="97">
        <f t="shared" si="12"/>
        <v>-102.62195847030752</v>
      </c>
      <c r="X18" s="97">
        <f t="shared" si="12"/>
        <v>-102.52274770847956</v>
      </c>
      <c r="Y18" s="97">
        <f t="shared" si="12"/>
        <v>89.09704178279242</v>
      </c>
      <c r="Z18" s="97">
        <f t="shared" si="12"/>
        <v>77.13741337943014</v>
      </c>
      <c r="AA18" s="97">
        <f t="shared" si="12"/>
        <v>113.17837047704825</v>
      </c>
      <c r="AB18" s="97">
        <f t="shared" si="12"/>
        <v>149.2199164910691</v>
      </c>
      <c r="AC18" s="95">
        <f t="shared" si="7"/>
        <v>455.5806557151282</v>
      </c>
      <c r="AD18" s="97">
        <f t="shared" si="12"/>
        <v>1094.3174675170758</v>
      </c>
      <c r="AE18" s="97">
        <f t="shared" si="12"/>
        <v>1482.7239333104512</v>
      </c>
      <c r="AF18" s="97">
        <f t="shared" si="12"/>
        <v>1643.1775789185237</v>
      </c>
      <c r="AG18" s="97">
        <f>AG16-AG17</f>
        <v>1794.2835166879795</v>
      </c>
      <c r="AH18" s="97">
        <f>AH16-AH17</f>
        <v>1942.1627513459086</v>
      </c>
      <c r="AI18" s="97">
        <f>AI16-AI17</f>
        <v>2086.653947736733</v>
      </c>
      <c r="AJ18" s="97">
        <f>AJ16-AJ17</f>
        <v>1795.5877039470993</v>
      </c>
    </row>
    <row r="19" spans="1:36" ht="15" customHeight="1">
      <c r="A19" s="99" t="s">
        <v>217</v>
      </c>
      <c r="B19" s="100">
        <f>AJ19</f>
        <v>12318.788378767134</v>
      </c>
      <c r="C19" s="101"/>
      <c r="D19" s="97">
        <f>C19+D18</f>
        <v>0</v>
      </c>
      <c r="E19" s="97">
        <f>D19+E18</f>
        <v>0</v>
      </c>
      <c r="F19" s="97">
        <f aca="true" t="shared" si="13" ref="F19:O19">E19+F18</f>
        <v>0</v>
      </c>
      <c r="G19" s="97">
        <f t="shared" si="13"/>
        <v>0</v>
      </c>
      <c r="H19" s="97">
        <f t="shared" si="13"/>
        <v>0</v>
      </c>
      <c r="I19" s="97">
        <f t="shared" si="13"/>
        <v>0</v>
      </c>
      <c r="J19" s="97">
        <f t="shared" si="13"/>
        <v>0</v>
      </c>
      <c r="K19" s="97">
        <f t="shared" si="13"/>
        <v>0</v>
      </c>
      <c r="L19" s="97">
        <f t="shared" si="13"/>
        <v>0</v>
      </c>
      <c r="M19" s="97">
        <f t="shared" si="13"/>
        <v>0</v>
      </c>
      <c r="N19" s="97">
        <f t="shared" si="13"/>
        <v>3.1654117941176523</v>
      </c>
      <c r="O19" s="97">
        <f t="shared" si="13"/>
        <v>24.30082358823531</v>
      </c>
      <c r="P19" s="95">
        <f>O19</f>
        <v>24.30082358823531</v>
      </c>
      <c r="Q19" s="97">
        <f>P19+Q18</f>
        <v>58.801375457352975</v>
      </c>
      <c r="R19" s="97">
        <f aca="true" t="shared" si="14" ref="R19:AA19">Q19+R18</f>
        <v>111.27192732647063</v>
      </c>
      <c r="S19" s="97">
        <f t="shared" si="14"/>
        <v>181.80884626772956</v>
      </c>
      <c r="T19" s="97">
        <f t="shared" si="14"/>
        <v>270.41269442238394</v>
      </c>
      <c r="U19" s="97">
        <f t="shared" si="14"/>
        <v>359.11403721084525</v>
      </c>
      <c r="V19" s="97">
        <f t="shared" si="14"/>
        <v>256.3934433518107</v>
      </c>
      <c r="W19" s="97">
        <f t="shared" si="14"/>
        <v>153.77148488150317</v>
      </c>
      <c r="X19" s="97">
        <f t="shared" si="14"/>
        <v>51.24873717302361</v>
      </c>
      <c r="Y19" s="97">
        <f t="shared" si="14"/>
        <v>140.34577895581603</v>
      </c>
      <c r="Z19" s="97">
        <f t="shared" si="14"/>
        <v>217.48319233524617</v>
      </c>
      <c r="AA19" s="97">
        <f t="shared" si="14"/>
        <v>330.6615628122944</v>
      </c>
      <c r="AB19" s="97">
        <f>AA19+AB18</f>
        <v>479.8814793033635</v>
      </c>
      <c r="AC19" s="95">
        <f>AB19</f>
        <v>479.8814793033635</v>
      </c>
      <c r="AD19" s="97">
        <f aca="true" t="shared" si="15" ref="AD19:AI19">AC19+AD18</f>
        <v>1574.1989468204392</v>
      </c>
      <c r="AE19" s="97">
        <f t="shared" si="15"/>
        <v>3056.9228801308905</v>
      </c>
      <c r="AF19" s="97">
        <f t="shared" si="15"/>
        <v>4700.100459049414</v>
      </c>
      <c r="AG19" s="97">
        <f t="shared" si="15"/>
        <v>6494.3839757373935</v>
      </c>
      <c r="AH19" s="97">
        <f t="shared" si="15"/>
        <v>8436.546727083301</v>
      </c>
      <c r="AI19" s="97">
        <f t="shared" si="15"/>
        <v>10523.200674820035</v>
      </c>
      <c r="AJ19" s="97">
        <f>AI19+AJ18</f>
        <v>12318.788378767134</v>
      </c>
    </row>
    <row r="20" spans="1:175" ht="15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</row>
    <row r="21" spans="1:36" ht="12.75" hidden="1">
      <c r="A21" s="104" t="s">
        <v>47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45" s="108" customFormat="1" ht="12.75" hidden="1">
      <c r="A22" s="320" t="s">
        <v>2</v>
      </c>
      <c r="B22" s="323" t="s">
        <v>0</v>
      </c>
      <c r="C22" s="105"/>
      <c r="D22" s="314">
        <f>D3</f>
        <v>2013</v>
      </c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6"/>
      <c r="Q22" s="314">
        <f>Q3</f>
        <v>2014</v>
      </c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6"/>
      <c r="AD22" s="106">
        <f aca="true" t="shared" si="16" ref="AD22:AJ22">AD3</f>
        <v>2015</v>
      </c>
      <c r="AE22" s="106">
        <f t="shared" si="16"/>
        <v>2016</v>
      </c>
      <c r="AF22" s="106">
        <f t="shared" si="16"/>
        <v>2017</v>
      </c>
      <c r="AG22" s="106">
        <f t="shared" si="16"/>
        <v>2018</v>
      </c>
      <c r="AH22" s="106">
        <f t="shared" si="16"/>
        <v>2019</v>
      </c>
      <c r="AI22" s="106">
        <f t="shared" si="16"/>
        <v>2020</v>
      </c>
      <c r="AJ22" s="106">
        <f t="shared" si="16"/>
        <v>2021</v>
      </c>
      <c r="AK22" s="107"/>
      <c r="AL22" s="107"/>
      <c r="AM22" s="107"/>
      <c r="AN22" s="107"/>
      <c r="AO22" s="107"/>
      <c r="AP22" s="107"/>
      <c r="AQ22" s="107"/>
      <c r="AR22" s="107"/>
      <c r="AS22" s="107"/>
    </row>
    <row r="23" spans="1:45" s="108" customFormat="1" ht="19.5" customHeight="1" hidden="1">
      <c r="A23" s="321"/>
      <c r="B23" s="324"/>
      <c r="C23" s="109"/>
      <c r="D23" s="110">
        <f>D4</f>
        <v>1</v>
      </c>
      <c r="E23" s="110">
        <f aca="true" t="shared" si="17" ref="E23:O23">E4</f>
        <v>2</v>
      </c>
      <c r="F23" s="110">
        <f t="shared" si="17"/>
        <v>3</v>
      </c>
      <c r="G23" s="110">
        <f t="shared" si="17"/>
        <v>4</v>
      </c>
      <c r="H23" s="110">
        <f t="shared" si="17"/>
        <v>5</v>
      </c>
      <c r="I23" s="110">
        <f t="shared" si="17"/>
        <v>6</v>
      </c>
      <c r="J23" s="110">
        <f t="shared" si="17"/>
        <v>7</v>
      </c>
      <c r="K23" s="110">
        <f t="shared" si="17"/>
        <v>8</v>
      </c>
      <c r="L23" s="110">
        <f t="shared" si="17"/>
        <v>9</v>
      </c>
      <c r="M23" s="110">
        <f t="shared" si="17"/>
        <v>10</v>
      </c>
      <c r="N23" s="110">
        <f t="shared" si="17"/>
        <v>11</v>
      </c>
      <c r="O23" s="110">
        <f t="shared" si="17"/>
        <v>12</v>
      </c>
      <c r="P23" s="111" t="s">
        <v>0</v>
      </c>
      <c r="Q23" s="110">
        <f>Q4</f>
        <v>1</v>
      </c>
      <c r="R23" s="110">
        <f aca="true" t="shared" si="18" ref="R23:AB23">R4</f>
        <v>2</v>
      </c>
      <c r="S23" s="110">
        <f t="shared" si="18"/>
        <v>3</v>
      </c>
      <c r="T23" s="110">
        <f t="shared" si="18"/>
        <v>4</v>
      </c>
      <c r="U23" s="110">
        <f t="shared" si="18"/>
        <v>5</v>
      </c>
      <c r="V23" s="110">
        <f t="shared" si="18"/>
        <v>6</v>
      </c>
      <c r="W23" s="110">
        <f t="shared" si="18"/>
        <v>7</v>
      </c>
      <c r="X23" s="110">
        <f t="shared" si="18"/>
        <v>8</v>
      </c>
      <c r="Y23" s="110">
        <f t="shared" si="18"/>
        <v>9</v>
      </c>
      <c r="Z23" s="110">
        <f t="shared" si="18"/>
        <v>10</v>
      </c>
      <c r="AA23" s="110">
        <f t="shared" si="18"/>
        <v>11</v>
      </c>
      <c r="AB23" s="110">
        <f t="shared" si="18"/>
        <v>12</v>
      </c>
      <c r="AC23" s="111" t="s">
        <v>0</v>
      </c>
      <c r="AD23" s="111"/>
      <c r="AE23" s="111"/>
      <c r="AF23" s="111"/>
      <c r="AG23" s="111"/>
      <c r="AH23" s="111"/>
      <c r="AI23" s="111"/>
      <c r="AJ23" s="111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08" customFormat="1" ht="12.75" hidden="1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07"/>
      <c r="AL24" s="107"/>
      <c r="AM24" s="107"/>
      <c r="AN24" s="107"/>
      <c r="AO24" s="107"/>
      <c r="AP24" s="107"/>
      <c r="AQ24" s="107"/>
      <c r="AR24" s="107"/>
      <c r="AS24" s="107"/>
    </row>
    <row r="25" spans="1:45" s="108" customFormat="1" ht="12.75" hidden="1">
      <c r="A25" s="112" t="s">
        <v>149</v>
      </c>
      <c r="B25" s="94">
        <f>P25+AC25+AD25+AE25+AF25+AG25+AH25+AI25+AJ25</f>
        <v>0</v>
      </c>
      <c r="C25" s="114"/>
      <c r="D25" s="114">
        <f aca="true" t="shared" si="19" ref="D25:O25">D5*ндс</f>
        <v>0</v>
      </c>
      <c r="E25" s="114">
        <f t="shared" si="19"/>
        <v>0</v>
      </c>
      <c r="F25" s="114">
        <f t="shared" si="19"/>
        <v>0</v>
      </c>
      <c r="G25" s="114">
        <f t="shared" si="19"/>
        <v>0</v>
      </c>
      <c r="H25" s="114">
        <f t="shared" si="19"/>
        <v>0</v>
      </c>
      <c r="I25" s="114">
        <f t="shared" si="19"/>
        <v>0</v>
      </c>
      <c r="J25" s="114">
        <f t="shared" si="19"/>
        <v>0</v>
      </c>
      <c r="K25" s="114">
        <f t="shared" si="19"/>
        <v>0</v>
      </c>
      <c r="L25" s="114">
        <f t="shared" si="19"/>
        <v>0</v>
      </c>
      <c r="M25" s="114">
        <f t="shared" si="19"/>
        <v>0</v>
      </c>
      <c r="N25" s="114">
        <f t="shared" si="19"/>
        <v>0</v>
      </c>
      <c r="O25" s="114">
        <f t="shared" si="19"/>
        <v>0</v>
      </c>
      <c r="P25" s="115">
        <f>SUM(D25:O25)</f>
        <v>0</v>
      </c>
      <c r="Q25" s="114">
        <f aca="true" t="shared" si="20" ref="Q25:AB25">Q5*ндс</f>
        <v>0</v>
      </c>
      <c r="R25" s="114">
        <f t="shared" si="20"/>
        <v>0</v>
      </c>
      <c r="S25" s="114">
        <f t="shared" si="20"/>
        <v>0</v>
      </c>
      <c r="T25" s="114">
        <f t="shared" si="20"/>
        <v>0</v>
      </c>
      <c r="U25" s="114">
        <f t="shared" si="20"/>
        <v>0</v>
      </c>
      <c r="V25" s="114">
        <f t="shared" si="20"/>
        <v>0</v>
      </c>
      <c r="W25" s="114">
        <f t="shared" si="20"/>
        <v>0</v>
      </c>
      <c r="X25" s="114">
        <f t="shared" si="20"/>
        <v>0</v>
      </c>
      <c r="Y25" s="114">
        <f t="shared" si="20"/>
        <v>0</v>
      </c>
      <c r="Z25" s="114">
        <f t="shared" si="20"/>
        <v>0</v>
      </c>
      <c r="AA25" s="114">
        <f t="shared" si="20"/>
        <v>0</v>
      </c>
      <c r="AB25" s="114">
        <f t="shared" si="20"/>
        <v>0</v>
      </c>
      <c r="AC25" s="115">
        <f>SUM(Q25:AB25)</f>
        <v>0</v>
      </c>
      <c r="AD25" s="114">
        <f aca="true" t="shared" si="21" ref="AD25:AJ25">AD5*ндс</f>
        <v>0</v>
      </c>
      <c r="AE25" s="114">
        <f t="shared" si="21"/>
        <v>0</v>
      </c>
      <c r="AF25" s="114">
        <f t="shared" si="21"/>
        <v>0</v>
      </c>
      <c r="AG25" s="114">
        <f t="shared" si="21"/>
        <v>0</v>
      </c>
      <c r="AH25" s="114">
        <f t="shared" si="21"/>
        <v>0</v>
      </c>
      <c r="AI25" s="114">
        <f t="shared" si="21"/>
        <v>0</v>
      </c>
      <c r="AJ25" s="114">
        <f t="shared" si="21"/>
        <v>0</v>
      </c>
      <c r="AK25" s="107"/>
      <c r="AL25" s="107"/>
      <c r="AM25" s="107"/>
      <c r="AN25" s="107"/>
      <c r="AO25" s="107"/>
      <c r="AP25" s="107"/>
      <c r="AQ25" s="107"/>
      <c r="AR25" s="107"/>
      <c r="AS25" s="107"/>
    </row>
    <row r="26" spans="1:45" s="108" customFormat="1" ht="12.75" hidden="1">
      <c r="A26" s="112" t="s">
        <v>150</v>
      </c>
      <c r="B26" s="94">
        <f>P26+AC26+AD26+AE26+AF26+AG26+AH26+AI26+AJ26</f>
        <v>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5">
        <f>SUM(D26:O26)</f>
        <v>0</v>
      </c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5">
        <f>SUM(Q26:AB26)</f>
        <v>0</v>
      </c>
      <c r="AD26" s="114"/>
      <c r="AE26" s="114"/>
      <c r="AF26" s="114"/>
      <c r="AG26" s="114"/>
      <c r="AH26" s="114"/>
      <c r="AI26" s="114"/>
      <c r="AJ26" s="114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08" customFormat="1" ht="12.75" hidden="1">
      <c r="A27" s="112" t="s">
        <v>151</v>
      </c>
      <c r="B27" s="94">
        <f>P27+AC27+AD27+AE27+AF27+AG27+AH27+AI27+AJ27</f>
        <v>0</v>
      </c>
      <c r="C27" s="114"/>
      <c r="D27" s="114">
        <f>Инв!E15/Исх!$C$20*ндс</f>
        <v>0</v>
      </c>
      <c r="E27" s="114">
        <f>Инв!F15/Исх!$C$20*ндс</f>
        <v>0</v>
      </c>
      <c r="F27" s="114">
        <f>Инв!G15/Исх!$C$20*ндс</f>
        <v>0</v>
      </c>
      <c r="G27" s="114">
        <f>Инв!H15/Исх!$C$20*ндс</f>
        <v>0</v>
      </c>
      <c r="H27" s="114">
        <f>Инв!I15/Исх!$C$20*ндс</f>
        <v>0</v>
      </c>
      <c r="I27" s="114">
        <f>Инв!J15/Исх!$C$20*ндс</f>
        <v>0</v>
      </c>
      <c r="J27" s="114">
        <f>Инв!K15/Исх!$C$20*ндс</f>
        <v>0</v>
      </c>
      <c r="K27" s="114">
        <f>Инв!L15/Исх!$C$20*ндс</f>
        <v>0</v>
      </c>
      <c r="L27" s="114">
        <f>Инв!M15/Исх!$C$20*ндс</f>
        <v>0</v>
      </c>
      <c r="M27" s="114">
        <f>Инв!N15/Исх!$C$20*ндс</f>
        <v>0</v>
      </c>
      <c r="N27" s="114">
        <f>Инв!O15/Исх!$C$20*ндс</f>
        <v>0</v>
      </c>
      <c r="O27" s="114">
        <f>Инв!P15/Исх!$C$20*ндс</f>
        <v>0</v>
      </c>
      <c r="P27" s="115">
        <f>SUM(D27:O27)</f>
        <v>0</v>
      </c>
      <c r="Q27" s="114">
        <f>Инв!R15/Исх!$C$20*ндс</f>
        <v>0</v>
      </c>
      <c r="R27" s="114">
        <f>Инв!S15/Исх!$C$20*ндс</f>
        <v>0</v>
      </c>
      <c r="S27" s="114">
        <f>Инв!T15/Исх!$C$20*ндс</f>
        <v>0</v>
      </c>
      <c r="T27" s="114">
        <f>Инв!U15/Исх!$C$20*ндс</f>
        <v>0</v>
      </c>
      <c r="U27" s="114">
        <f>Инв!V15/Исх!$C$20*ндс</f>
        <v>0</v>
      </c>
      <c r="V27" s="114">
        <f>Инв!W15/Исх!$C$20*ндс</f>
        <v>0</v>
      </c>
      <c r="W27" s="114">
        <f>Инв!X15/Исх!$C$20*ндс</f>
        <v>0</v>
      </c>
      <c r="X27" s="114">
        <f>Инв!Y15/Исх!$C$20*ндс</f>
        <v>0</v>
      </c>
      <c r="Y27" s="114">
        <f>Инв!Z15/Исх!$C$20*ндс</f>
        <v>0</v>
      </c>
      <c r="Z27" s="114">
        <f>Инв!AA15/Исх!$C$20*ндс</f>
        <v>0</v>
      </c>
      <c r="AA27" s="114">
        <f>Инв!AB15/Исх!$C$20*ндс</f>
        <v>0</v>
      </c>
      <c r="AB27" s="114">
        <f>Инв!AC15/Исх!$C$20*ндс</f>
        <v>0</v>
      </c>
      <c r="AC27" s="115"/>
      <c r="AD27" s="115"/>
      <c r="AE27" s="115"/>
      <c r="AF27" s="115"/>
      <c r="AG27" s="115"/>
      <c r="AH27" s="115"/>
      <c r="AI27" s="115"/>
      <c r="AJ27" s="115"/>
      <c r="AK27" s="107"/>
      <c r="AL27" s="107"/>
      <c r="AM27" s="107"/>
      <c r="AN27" s="107"/>
      <c r="AO27" s="107"/>
      <c r="AP27" s="107"/>
      <c r="AQ27" s="107"/>
      <c r="AR27" s="107"/>
      <c r="AS27" s="107"/>
    </row>
    <row r="28" spans="1:45" s="108" customFormat="1" ht="12.75" hidden="1">
      <c r="A28" s="112" t="s">
        <v>26</v>
      </c>
      <c r="B28" s="94">
        <f>P28+AC28+AD28+AE28+AF28+AG28+AH28+AI28+AJ28</f>
        <v>0</v>
      </c>
      <c r="C28" s="114"/>
      <c r="D28" s="114">
        <f>D25-D26-D27</f>
        <v>0</v>
      </c>
      <c r="E28" s="114">
        <f aca="true" t="shared" si="22" ref="E28:O28">E25-E26-E27</f>
        <v>0</v>
      </c>
      <c r="F28" s="114">
        <f t="shared" si="22"/>
        <v>0</v>
      </c>
      <c r="G28" s="114">
        <f t="shared" si="22"/>
        <v>0</v>
      </c>
      <c r="H28" s="114">
        <f t="shared" si="22"/>
        <v>0</v>
      </c>
      <c r="I28" s="114">
        <f t="shared" si="22"/>
        <v>0</v>
      </c>
      <c r="J28" s="114">
        <f t="shared" si="22"/>
        <v>0</v>
      </c>
      <c r="K28" s="114">
        <f t="shared" si="22"/>
        <v>0</v>
      </c>
      <c r="L28" s="114">
        <f t="shared" si="22"/>
        <v>0</v>
      </c>
      <c r="M28" s="114">
        <f t="shared" si="22"/>
        <v>0</v>
      </c>
      <c r="N28" s="114">
        <f t="shared" si="22"/>
        <v>0</v>
      </c>
      <c r="O28" s="114">
        <f t="shared" si="22"/>
        <v>0</v>
      </c>
      <c r="P28" s="115">
        <f>SUM(D28:O28)</f>
        <v>0</v>
      </c>
      <c r="Q28" s="114">
        <f aca="true" t="shared" si="23" ref="Q28:AB28">Q25-Q26-Q27</f>
        <v>0</v>
      </c>
      <c r="R28" s="114">
        <f t="shared" si="23"/>
        <v>0</v>
      </c>
      <c r="S28" s="114">
        <f t="shared" si="23"/>
        <v>0</v>
      </c>
      <c r="T28" s="114">
        <f t="shared" si="23"/>
        <v>0</v>
      </c>
      <c r="U28" s="114">
        <f t="shared" si="23"/>
        <v>0</v>
      </c>
      <c r="V28" s="114">
        <f t="shared" si="23"/>
        <v>0</v>
      </c>
      <c r="W28" s="114">
        <f t="shared" si="23"/>
        <v>0</v>
      </c>
      <c r="X28" s="114">
        <f t="shared" si="23"/>
        <v>0</v>
      </c>
      <c r="Y28" s="114">
        <f t="shared" si="23"/>
        <v>0</v>
      </c>
      <c r="Z28" s="114">
        <f t="shared" si="23"/>
        <v>0</v>
      </c>
      <c r="AA28" s="114">
        <f t="shared" si="23"/>
        <v>0</v>
      </c>
      <c r="AB28" s="114">
        <f t="shared" si="23"/>
        <v>0</v>
      </c>
      <c r="AC28" s="115">
        <f>SUM(Q28:AB28)</f>
        <v>0</v>
      </c>
      <c r="AD28" s="114">
        <f aca="true" t="shared" si="24" ref="AD28:AI28">AD25-AD26-AD27</f>
        <v>0</v>
      </c>
      <c r="AE28" s="114">
        <f t="shared" si="24"/>
        <v>0</v>
      </c>
      <c r="AF28" s="114">
        <f t="shared" si="24"/>
        <v>0</v>
      </c>
      <c r="AG28" s="114">
        <f t="shared" si="24"/>
        <v>0</v>
      </c>
      <c r="AH28" s="114">
        <f t="shared" si="24"/>
        <v>0</v>
      </c>
      <c r="AI28" s="114">
        <f t="shared" si="24"/>
        <v>0</v>
      </c>
      <c r="AJ28" s="114">
        <f>AJ25-AJ26-AJ27</f>
        <v>0</v>
      </c>
      <c r="AK28" s="107"/>
      <c r="AL28" s="107"/>
      <c r="AM28" s="107"/>
      <c r="AN28" s="107"/>
      <c r="AO28" s="107"/>
      <c r="AP28" s="107"/>
      <c r="AQ28" s="107"/>
      <c r="AR28" s="107"/>
      <c r="AS28" s="107"/>
    </row>
    <row r="29" spans="1:45" s="108" customFormat="1" ht="12.75" hidden="1">
      <c r="A29" s="112" t="s">
        <v>152</v>
      </c>
      <c r="B29" s="100">
        <f>AJ29</f>
        <v>0</v>
      </c>
      <c r="C29" s="114"/>
      <c r="D29" s="114">
        <f>D28</f>
        <v>0</v>
      </c>
      <c r="E29" s="114">
        <f>D29+E28</f>
        <v>0</v>
      </c>
      <c r="F29" s="114">
        <f aca="true" t="shared" si="25" ref="F29:O29">E29+F28</f>
        <v>0</v>
      </c>
      <c r="G29" s="114">
        <f t="shared" si="25"/>
        <v>0</v>
      </c>
      <c r="H29" s="114">
        <f t="shared" si="25"/>
        <v>0</v>
      </c>
      <c r="I29" s="114">
        <f t="shared" si="25"/>
        <v>0</v>
      </c>
      <c r="J29" s="114">
        <f t="shared" si="25"/>
        <v>0</v>
      </c>
      <c r="K29" s="114">
        <f t="shared" si="25"/>
        <v>0</v>
      </c>
      <c r="L29" s="114">
        <f t="shared" si="25"/>
        <v>0</v>
      </c>
      <c r="M29" s="114">
        <f t="shared" si="25"/>
        <v>0</v>
      </c>
      <c r="N29" s="114">
        <f t="shared" si="25"/>
        <v>0</v>
      </c>
      <c r="O29" s="114">
        <f t="shared" si="25"/>
        <v>0</v>
      </c>
      <c r="P29" s="115">
        <f>O29</f>
        <v>0</v>
      </c>
      <c r="Q29" s="114">
        <f aca="true" t="shared" si="26" ref="Q29:AB29">P29+Q28</f>
        <v>0</v>
      </c>
      <c r="R29" s="114">
        <f t="shared" si="26"/>
        <v>0</v>
      </c>
      <c r="S29" s="114">
        <f t="shared" si="26"/>
        <v>0</v>
      </c>
      <c r="T29" s="114">
        <f t="shared" si="26"/>
        <v>0</v>
      </c>
      <c r="U29" s="114">
        <f t="shared" si="26"/>
        <v>0</v>
      </c>
      <c r="V29" s="114">
        <f t="shared" si="26"/>
        <v>0</v>
      </c>
      <c r="W29" s="114">
        <f t="shared" si="26"/>
        <v>0</v>
      </c>
      <c r="X29" s="114">
        <f t="shared" si="26"/>
        <v>0</v>
      </c>
      <c r="Y29" s="114">
        <f t="shared" si="26"/>
        <v>0</v>
      </c>
      <c r="Z29" s="114">
        <f t="shared" si="26"/>
        <v>0</v>
      </c>
      <c r="AA29" s="114">
        <f t="shared" si="26"/>
        <v>0</v>
      </c>
      <c r="AB29" s="114">
        <f t="shared" si="26"/>
        <v>0</v>
      </c>
      <c r="AC29" s="115">
        <f>AB29</f>
        <v>0</v>
      </c>
      <c r="AD29" s="114">
        <f aca="true" t="shared" si="27" ref="AD29:AI29">AC29+AD28</f>
        <v>0</v>
      </c>
      <c r="AE29" s="114">
        <f t="shared" si="27"/>
        <v>0</v>
      </c>
      <c r="AF29" s="114">
        <f t="shared" si="27"/>
        <v>0</v>
      </c>
      <c r="AG29" s="114">
        <f t="shared" si="27"/>
        <v>0</v>
      </c>
      <c r="AH29" s="114">
        <f t="shared" si="27"/>
        <v>0</v>
      </c>
      <c r="AI29" s="114">
        <f t="shared" si="27"/>
        <v>0</v>
      </c>
      <c r="AJ29" s="114">
        <f>AI29+AJ28</f>
        <v>0</v>
      </c>
      <c r="AK29" s="107"/>
      <c r="AL29" s="107"/>
      <c r="AM29" s="107"/>
      <c r="AN29" s="107"/>
      <c r="AO29" s="107"/>
      <c r="AP29" s="107"/>
      <c r="AQ29" s="107"/>
      <c r="AR29" s="107"/>
      <c r="AS29" s="107"/>
    </row>
    <row r="30" spans="1:45" s="108" customFormat="1" ht="12.75" hidden="1">
      <c r="A30" s="112" t="s">
        <v>153</v>
      </c>
      <c r="B30" s="94">
        <f>P30+AC30+AD30+AE30+AF30+AG30+AH30+AI30+AJ30</f>
        <v>0</v>
      </c>
      <c r="C30" s="114"/>
      <c r="D30" s="114">
        <f>IF(C29+D28&gt;=0,IF(C29&lt;0,C29+D28,D28),0)</f>
        <v>0</v>
      </c>
      <c r="E30" s="114">
        <f aca="true" t="shared" si="28" ref="E30:AI30">IF(D29+E28&gt;=0,IF(D29&lt;0,D29+E28,E28),0)</f>
        <v>0</v>
      </c>
      <c r="F30" s="114">
        <f t="shared" si="28"/>
        <v>0</v>
      </c>
      <c r="G30" s="114">
        <f t="shared" si="28"/>
        <v>0</v>
      </c>
      <c r="H30" s="114">
        <f t="shared" si="28"/>
        <v>0</v>
      </c>
      <c r="I30" s="114">
        <f t="shared" si="28"/>
        <v>0</v>
      </c>
      <c r="J30" s="114">
        <f t="shared" si="28"/>
        <v>0</v>
      </c>
      <c r="K30" s="114">
        <f t="shared" si="28"/>
        <v>0</v>
      </c>
      <c r="L30" s="114">
        <f t="shared" si="28"/>
        <v>0</v>
      </c>
      <c r="M30" s="114">
        <f t="shared" si="28"/>
        <v>0</v>
      </c>
      <c r="N30" s="114">
        <f t="shared" si="28"/>
        <v>0</v>
      </c>
      <c r="O30" s="114">
        <f t="shared" si="28"/>
        <v>0</v>
      </c>
      <c r="P30" s="115">
        <f>SUM(D30:O30)</f>
        <v>0</v>
      </c>
      <c r="Q30" s="114">
        <f t="shared" si="28"/>
        <v>0</v>
      </c>
      <c r="R30" s="114">
        <f t="shared" si="28"/>
        <v>0</v>
      </c>
      <c r="S30" s="114">
        <f t="shared" si="28"/>
        <v>0</v>
      </c>
      <c r="T30" s="114">
        <f t="shared" si="28"/>
        <v>0</v>
      </c>
      <c r="U30" s="114">
        <f t="shared" si="28"/>
        <v>0</v>
      </c>
      <c r="V30" s="114">
        <f t="shared" si="28"/>
        <v>0</v>
      </c>
      <c r="W30" s="114">
        <f t="shared" si="28"/>
        <v>0</v>
      </c>
      <c r="X30" s="114">
        <f t="shared" si="28"/>
        <v>0</v>
      </c>
      <c r="Y30" s="114">
        <f t="shared" si="28"/>
        <v>0</v>
      </c>
      <c r="Z30" s="114">
        <f t="shared" si="28"/>
        <v>0</v>
      </c>
      <c r="AA30" s="114">
        <f t="shared" si="28"/>
        <v>0</v>
      </c>
      <c r="AB30" s="114">
        <f t="shared" si="28"/>
        <v>0</v>
      </c>
      <c r="AC30" s="115">
        <f>SUM(Q30:AB30)</f>
        <v>0</v>
      </c>
      <c r="AD30" s="114">
        <f t="shared" si="28"/>
        <v>0</v>
      </c>
      <c r="AE30" s="114">
        <f t="shared" si="28"/>
        <v>0</v>
      </c>
      <c r="AF30" s="114">
        <f t="shared" si="28"/>
        <v>0</v>
      </c>
      <c r="AG30" s="114">
        <f t="shared" si="28"/>
        <v>0</v>
      </c>
      <c r="AH30" s="114">
        <f t="shared" si="28"/>
        <v>0</v>
      </c>
      <c r="AI30" s="114">
        <f t="shared" si="28"/>
        <v>0</v>
      </c>
      <c r="AJ30" s="114">
        <f>IF(AI29+AJ28&gt;=0,IF(AI29&lt;0,AI29+AJ28,AJ28),0)</f>
        <v>0</v>
      </c>
      <c r="AK30" s="107"/>
      <c r="AL30" s="107"/>
      <c r="AM30" s="107"/>
      <c r="AN30" s="107"/>
      <c r="AO30" s="107"/>
      <c r="AP30" s="107"/>
      <c r="AQ30" s="107"/>
      <c r="AR30" s="107"/>
      <c r="AS30" s="107"/>
    </row>
    <row r="32" ht="12.75">
      <c r="B32" s="244">
        <f>B25-B26-B27</f>
        <v>0</v>
      </c>
    </row>
  </sheetData>
  <sheetProtection/>
  <mergeCells count="8">
    <mergeCell ref="Q22:AC22"/>
    <mergeCell ref="Q3:AC3"/>
    <mergeCell ref="A3:A4"/>
    <mergeCell ref="A22:A23"/>
    <mergeCell ref="B3:B4"/>
    <mergeCell ref="D22:P22"/>
    <mergeCell ref="B22:B23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B41"/>
  <sheetViews>
    <sheetView showGridLines="0" showZeros="0" zoomScalePageLayoutView="0" workbookViewId="0" topLeftCell="A1">
      <pane xSplit="3" ySplit="4" topLeftCell="R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D9" sqref="AD9:AJ9"/>
    </sheetView>
  </sheetViews>
  <sheetFormatPr defaultColWidth="10.125" defaultRowHeight="12.75" outlineLevelCol="1"/>
  <cols>
    <col min="1" max="1" width="38.125" style="117" customWidth="1"/>
    <col min="2" max="2" width="2.375" style="117" customWidth="1"/>
    <col min="3" max="3" width="7.125" style="117" customWidth="1"/>
    <col min="4" max="4" width="11.375" style="117" hidden="1" customWidth="1" outlineLevel="1"/>
    <col min="5" max="11" width="7.375" style="117" hidden="1" customWidth="1" outlineLevel="1"/>
    <col min="12" max="12" width="8.00390625" style="117" hidden="1" customWidth="1" outlineLevel="1"/>
    <col min="13" max="13" width="7.875" style="117" hidden="1" customWidth="1" outlineLevel="1"/>
    <col min="14" max="15" width="8.125" style="117" hidden="1" customWidth="1" outlineLevel="1"/>
    <col min="16" max="16" width="9.875" style="117" customWidth="1" collapsed="1"/>
    <col min="17" max="23" width="8.375" style="117" hidden="1" customWidth="1" outlineLevel="1"/>
    <col min="24" max="25" width="8.75390625" style="117" hidden="1" customWidth="1" outlineLevel="1"/>
    <col min="26" max="26" width="8.625" style="117" hidden="1" customWidth="1" outlineLevel="1"/>
    <col min="27" max="27" width="9.00390625" style="117" hidden="1" customWidth="1" outlineLevel="1"/>
    <col min="28" max="28" width="9.125" style="117" hidden="1" customWidth="1" outlineLevel="1"/>
    <col min="29" max="29" width="10.125" style="117" customWidth="1" collapsed="1"/>
    <col min="30" max="31" width="8.125" style="117" bestFit="1" customWidth="1"/>
    <col min="32" max="35" width="7.625" style="117" bestFit="1" customWidth="1"/>
    <col min="36" max="36" width="9.125" style="117" customWidth="1"/>
    <col min="37" max="16384" width="10.125" style="117" customWidth="1"/>
  </cols>
  <sheetData>
    <row r="1" spans="1:3" ht="12.75">
      <c r="A1" s="60" t="s">
        <v>105</v>
      </c>
      <c r="B1" s="116"/>
      <c r="C1" s="116"/>
    </row>
    <row r="2" spans="1:34" ht="17.25" customHeight="1">
      <c r="A2" s="60"/>
      <c r="C2" s="12" t="str">
        <f>Исх!$C$11</f>
        <v>тыс.тг.</v>
      </c>
      <c r="P2" s="118"/>
      <c r="AC2" s="118"/>
      <c r="AD2" s="118"/>
      <c r="AE2" s="118"/>
      <c r="AF2" s="118"/>
      <c r="AG2" s="118"/>
      <c r="AH2" s="118"/>
    </row>
    <row r="3" spans="1:36" ht="12.75" customHeight="1">
      <c r="A3" s="325" t="s">
        <v>2</v>
      </c>
      <c r="B3" s="327"/>
      <c r="C3" s="120"/>
      <c r="D3" s="328">
        <v>2013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>
        <v>2014</v>
      </c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121">
        <v>2015</v>
      </c>
      <c r="AE3" s="121">
        <f aca="true" t="shared" si="0" ref="AE3:AJ3">AD3+1</f>
        <v>2016</v>
      </c>
      <c r="AF3" s="121">
        <f t="shared" si="0"/>
        <v>2017</v>
      </c>
      <c r="AG3" s="121">
        <f t="shared" si="0"/>
        <v>2018</v>
      </c>
      <c r="AH3" s="121">
        <f t="shared" si="0"/>
        <v>2019</v>
      </c>
      <c r="AI3" s="121">
        <f t="shared" si="0"/>
        <v>2020</v>
      </c>
      <c r="AJ3" s="121">
        <f t="shared" si="0"/>
        <v>2021</v>
      </c>
    </row>
    <row r="4" spans="1:36" ht="12.75">
      <c r="A4" s="326"/>
      <c r="B4" s="327"/>
      <c r="C4" s="122"/>
      <c r="D4" s="123">
        <v>1</v>
      </c>
      <c r="E4" s="123">
        <f>D4+1</f>
        <v>2</v>
      </c>
      <c r="F4" s="123">
        <f aca="true" t="shared" si="1" ref="F4:O4">E4+1</f>
        <v>3</v>
      </c>
      <c r="G4" s="123">
        <f t="shared" si="1"/>
        <v>4</v>
      </c>
      <c r="H4" s="123">
        <f t="shared" si="1"/>
        <v>5</v>
      </c>
      <c r="I4" s="123">
        <f t="shared" si="1"/>
        <v>6</v>
      </c>
      <c r="J4" s="123">
        <f t="shared" si="1"/>
        <v>7</v>
      </c>
      <c r="K4" s="123">
        <f t="shared" si="1"/>
        <v>8</v>
      </c>
      <c r="L4" s="123">
        <f t="shared" si="1"/>
        <v>9</v>
      </c>
      <c r="M4" s="123">
        <f t="shared" si="1"/>
        <v>10</v>
      </c>
      <c r="N4" s="123">
        <f t="shared" si="1"/>
        <v>11</v>
      </c>
      <c r="O4" s="123">
        <f t="shared" si="1"/>
        <v>12</v>
      </c>
      <c r="P4" s="119" t="s">
        <v>0</v>
      </c>
      <c r="Q4" s="123">
        <v>1</v>
      </c>
      <c r="R4" s="123">
        <f aca="true" t="shared" si="2" ref="R4:AB4">Q4+1</f>
        <v>2</v>
      </c>
      <c r="S4" s="123">
        <f t="shared" si="2"/>
        <v>3</v>
      </c>
      <c r="T4" s="123">
        <f t="shared" si="2"/>
        <v>4</v>
      </c>
      <c r="U4" s="123">
        <f t="shared" si="2"/>
        <v>5</v>
      </c>
      <c r="V4" s="123">
        <f t="shared" si="2"/>
        <v>6</v>
      </c>
      <c r="W4" s="123">
        <f t="shared" si="2"/>
        <v>7</v>
      </c>
      <c r="X4" s="123">
        <f t="shared" si="2"/>
        <v>8</v>
      </c>
      <c r="Y4" s="123">
        <f t="shared" si="2"/>
        <v>9</v>
      </c>
      <c r="Z4" s="123">
        <f t="shared" si="2"/>
        <v>10</v>
      </c>
      <c r="AA4" s="123">
        <f t="shared" si="2"/>
        <v>11</v>
      </c>
      <c r="AB4" s="123">
        <f t="shared" si="2"/>
        <v>12</v>
      </c>
      <c r="AC4" s="119" t="s">
        <v>0</v>
      </c>
      <c r="AD4" s="119" t="s">
        <v>259</v>
      </c>
      <c r="AE4" s="119" t="s">
        <v>259</v>
      </c>
      <c r="AF4" s="119" t="s">
        <v>259</v>
      </c>
      <c r="AG4" s="119" t="s">
        <v>259</v>
      </c>
      <c r="AH4" s="119" t="s">
        <v>259</v>
      </c>
      <c r="AI4" s="119" t="s">
        <v>259</v>
      </c>
      <c r="AJ4" s="119" t="s">
        <v>259</v>
      </c>
    </row>
    <row r="5" spans="1:42" s="128" customFormat="1" ht="15" customHeight="1">
      <c r="A5" s="124" t="s">
        <v>106</v>
      </c>
      <c r="B5" s="125"/>
      <c r="C5" s="126">
        <f>C11+C6</f>
        <v>0</v>
      </c>
      <c r="D5" s="126">
        <f>D11+D6</f>
        <v>0</v>
      </c>
      <c r="E5" s="126">
        <f aca="true" t="shared" si="3" ref="E5:AH5">E11+E6</f>
        <v>0</v>
      </c>
      <c r="F5" s="126">
        <f t="shared" si="3"/>
        <v>0</v>
      </c>
      <c r="G5" s="126">
        <f t="shared" si="3"/>
        <v>0</v>
      </c>
      <c r="H5" s="126">
        <f t="shared" si="3"/>
        <v>0</v>
      </c>
      <c r="I5" s="126">
        <f t="shared" si="3"/>
        <v>0</v>
      </c>
      <c r="J5" s="126">
        <f t="shared" si="3"/>
        <v>0</v>
      </c>
      <c r="K5" s="126">
        <f t="shared" si="3"/>
        <v>0</v>
      </c>
      <c r="L5" s="126">
        <f t="shared" si="3"/>
        <v>0</v>
      </c>
      <c r="M5" s="126">
        <f t="shared" si="3"/>
        <v>705</v>
      </c>
      <c r="N5" s="126">
        <f t="shared" si="3"/>
        <v>708.1654117941177</v>
      </c>
      <c r="O5" s="126">
        <f t="shared" si="3"/>
        <v>729.3008235882354</v>
      </c>
      <c r="P5" s="126">
        <f t="shared" si="3"/>
        <v>729.3008235882354</v>
      </c>
      <c r="Q5" s="126">
        <f t="shared" si="3"/>
        <v>763.8013754573531</v>
      </c>
      <c r="R5" s="126">
        <f t="shared" si="3"/>
        <v>799.7518578165366</v>
      </c>
      <c r="S5" s="126">
        <f t="shared" si="3"/>
        <v>853.6723401757201</v>
      </c>
      <c r="T5" s="126">
        <f t="shared" si="3"/>
        <v>925.5628225349036</v>
      </c>
      <c r="U5" s="126">
        <f t="shared" si="3"/>
        <v>997.4533048940871</v>
      </c>
      <c r="V5" s="126">
        <f t="shared" si="3"/>
        <v>877.8237872532707</v>
      </c>
      <c r="W5" s="126">
        <f t="shared" si="3"/>
        <v>758.1942696124541</v>
      </c>
      <c r="X5" s="126">
        <f t="shared" si="3"/>
        <v>638.5647519716376</v>
      </c>
      <c r="Y5" s="126">
        <f t="shared" si="3"/>
        <v>710.4552343308211</v>
      </c>
      <c r="Z5" s="126">
        <f t="shared" si="3"/>
        <v>770.2857166900046</v>
      </c>
      <c r="AA5" s="126">
        <f t="shared" si="3"/>
        <v>866.0561990491881</v>
      </c>
      <c r="AB5" s="126">
        <f t="shared" si="3"/>
        <v>997.7666814083716</v>
      </c>
      <c r="AC5" s="126">
        <f t="shared" si="3"/>
        <v>997.7666814083716</v>
      </c>
      <c r="AD5" s="126">
        <f t="shared" si="3"/>
        <v>1873.8312346635732</v>
      </c>
      <c r="AE5" s="126">
        <f t="shared" si="3"/>
        <v>3162.672880130893</v>
      </c>
      <c r="AF5" s="126">
        <f t="shared" si="3"/>
        <v>4805.850459049418</v>
      </c>
      <c r="AG5" s="126">
        <f t="shared" si="3"/>
        <v>6600.133975737397</v>
      </c>
      <c r="AH5" s="126">
        <f t="shared" si="3"/>
        <v>8542.296727083305</v>
      </c>
      <c r="AI5" s="126">
        <f>AI11+AI6</f>
        <v>10628.950674820038</v>
      </c>
      <c r="AJ5" s="126">
        <f>AJ11+AJ6</f>
        <v>12424.538378767136</v>
      </c>
      <c r="AK5" s="127"/>
      <c r="AL5" s="127"/>
      <c r="AM5" s="127"/>
      <c r="AN5" s="127"/>
      <c r="AO5" s="127"/>
      <c r="AP5" s="127"/>
    </row>
    <row r="6" spans="1:36" s="128" customFormat="1" ht="15" customHeight="1">
      <c r="A6" s="124" t="s">
        <v>107</v>
      </c>
      <c r="B6" s="125"/>
      <c r="C6" s="126">
        <f>SUM(C7:C10)</f>
        <v>0</v>
      </c>
      <c r="D6" s="126">
        <f>SUM(D7:D10)</f>
        <v>0</v>
      </c>
      <c r="E6" s="126">
        <f aca="true" t="shared" si="4" ref="E6:AH6">SUM(E7:E10)</f>
        <v>0</v>
      </c>
      <c r="F6" s="126">
        <f t="shared" si="4"/>
        <v>0</v>
      </c>
      <c r="G6" s="126">
        <f t="shared" si="4"/>
        <v>0</v>
      </c>
      <c r="H6" s="126">
        <f t="shared" si="4"/>
        <v>0</v>
      </c>
      <c r="I6" s="126">
        <f t="shared" si="4"/>
        <v>0</v>
      </c>
      <c r="J6" s="126">
        <f t="shared" si="4"/>
        <v>0</v>
      </c>
      <c r="K6" s="126">
        <f t="shared" si="4"/>
        <v>0</v>
      </c>
      <c r="L6" s="126">
        <f t="shared" si="4"/>
        <v>0</v>
      </c>
      <c r="M6" s="126">
        <f t="shared" si="4"/>
        <v>0</v>
      </c>
      <c r="N6" s="126">
        <f t="shared" si="4"/>
        <v>10.077176500000007</v>
      </c>
      <c r="O6" s="126">
        <f t="shared" si="4"/>
        <v>38.12435300000001</v>
      </c>
      <c r="P6" s="126">
        <f t="shared" si="4"/>
        <v>38.12435300000001</v>
      </c>
      <c r="Q6" s="126">
        <f t="shared" si="4"/>
        <v>79.53666957500002</v>
      </c>
      <c r="R6" s="126">
        <f t="shared" si="4"/>
        <v>122.39891664006586</v>
      </c>
      <c r="S6" s="126">
        <f t="shared" si="4"/>
        <v>183.2311637051317</v>
      </c>
      <c r="T6" s="126">
        <f t="shared" si="4"/>
        <v>262.0334107701975</v>
      </c>
      <c r="U6" s="126">
        <f t="shared" si="4"/>
        <v>340.83565783526336</v>
      </c>
      <c r="V6" s="126">
        <f t="shared" si="4"/>
        <v>228.1179049003292</v>
      </c>
      <c r="W6" s="126">
        <f t="shared" si="4"/>
        <v>115.40015196539503</v>
      </c>
      <c r="X6" s="126">
        <f t="shared" si="4"/>
        <v>2.682399030460843</v>
      </c>
      <c r="Y6" s="126">
        <f t="shared" si="4"/>
        <v>81.48464609552664</v>
      </c>
      <c r="Z6" s="126">
        <f t="shared" si="4"/>
        <v>148.2268931605925</v>
      </c>
      <c r="AA6" s="126">
        <f t="shared" si="4"/>
        <v>250.90914022565826</v>
      </c>
      <c r="AB6" s="126">
        <f t="shared" si="4"/>
        <v>389.53138729072407</v>
      </c>
      <c r="AC6" s="126">
        <f t="shared" si="4"/>
        <v>389.53138729072407</v>
      </c>
      <c r="AD6" s="126">
        <f t="shared" si="4"/>
        <v>1348.537117016514</v>
      </c>
      <c r="AE6" s="126">
        <f t="shared" si="4"/>
        <v>2720.319938954422</v>
      </c>
      <c r="AF6" s="126">
        <f t="shared" si="4"/>
        <v>4446.438694343535</v>
      </c>
      <c r="AG6" s="126">
        <f t="shared" si="4"/>
        <v>6323.6633875021025</v>
      </c>
      <c r="AH6" s="126">
        <f t="shared" si="4"/>
        <v>8348.767315318599</v>
      </c>
      <c r="AI6" s="126">
        <f>SUM(AI7:AI10)</f>
        <v>10518.36243952592</v>
      </c>
      <c r="AJ6" s="126">
        <f>SUM(AJ7:AJ10)</f>
        <v>12396.891319943607</v>
      </c>
    </row>
    <row r="7" spans="1:36" ht="15" customHeight="1">
      <c r="A7" s="129" t="s">
        <v>108</v>
      </c>
      <c r="B7" s="125"/>
      <c r="C7" s="130"/>
      <c r="D7" s="130">
        <f>'1-Ф3'!D36</f>
        <v>0</v>
      </c>
      <c r="E7" s="130">
        <f>'1-Ф3'!E36</f>
        <v>0</v>
      </c>
      <c r="F7" s="130">
        <f>'1-Ф3'!F36</f>
        <v>0</v>
      </c>
      <c r="G7" s="130">
        <f>'1-Ф3'!G36</f>
        <v>0</v>
      </c>
      <c r="H7" s="130">
        <f>'1-Ф3'!H36</f>
        <v>0</v>
      </c>
      <c r="I7" s="130">
        <f>'1-Ф3'!I36</f>
        <v>0</v>
      </c>
      <c r="J7" s="130">
        <f>'1-Ф3'!J36</f>
        <v>0</v>
      </c>
      <c r="K7" s="130">
        <f>'1-Ф3'!K36</f>
        <v>0</v>
      </c>
      <c r="L7" s="130">
        <f>'1-Ф3'!L36</f>
        <v>0</v>
      </c>
      <c r="M7" s="130">
        <f>'1-Ф3'!M36</f>
        <v>0</v>
      </c>
      <c r="N7" s="130">
        <f>'1-Ф3'!N36</f>
        <v>10.077176500000007</v>
      </c>
      <c r="O7" s="130">
        <f>'1-Ф3'!O36</f>
        <v>38.12435300000001</v>
      </c>
      <c r="P7" s="130">
        <f>'1-Ф3'!P36</f>
        <v>38.12435300000001</v>
      </c>
      <c r="Q7" s="130">
        <f>'1-Ф3'!Q36</f>
        <v>79.53666957500002</v>
      </c>
      <c r="R7" s="130">
        <f>'1-Ф3'!R36</f>
        <v>122.39891664006586</v>
      </c>
      <c r="S7" s="130">
        <f>'1-Ф3'!S36</f>
        <v>183.2311637051317</v>
      </c>
      <c r="T7" s="130">
        <f>'1-Ф3'!T36</f>
        <v>262.0334107701975</v>
      </c>
      <c r="U7" s="130">
        <f>'1-Ф3'!U36</f>
        <v>340.83565783526336</v>
      </c>
      <c r="V7" s="130">
        <f>'1-Ф3'!V36</f>
        <v>228.1179049003292</v>
      </c>
      <c r="W7" s="130">
        <f>'1-Ф3'!W36</f>
        <v>115.40015196539503</v>
      </c>
      <c r="X7" s="130">
        <f>'1-Ф3'!X36</f>
        <v>2.682399030460843</v>
      </c>
      <c r="Y7" s="130">
        <f>'1-Ф3'!Y36</f>
        <v>81.48464609552664</v>
      </c>
      <c r="Z7" s="130">
        <f>'1-Ф3'!Z36</f>
        <v>148.2268931605925</v>
      </c>
      <c r="AA7" s="130">
        <f>'1-Ф3'!AA36</f>
        <v>250.90914022565826</v>
      </c>
      <c r="AB7" s="130">
        <f>'1-Ф3'!AB36</f>
        <v>389.53138729072407</v>
      </c>
      <c r="AC7" s="130">
        <f>'1-Ф3'!AC36</f>
        <v>389.53138729072407</v>
      </c>
      <c r="AD7" s="130">
        <f>'1-Ф3'!AD36</f>
        <v>1348.537117016514</v>
      </c>
      <c r="AE7" s="130">
        <f>'1-Ф3'!AE36</f>
        <v>2720.319938954422</v>
      </c>
      <c r="AF7" s="130">
        <f>'1-Ф3'!AF36</f>
        <v>4446.438694343535</v>
      </c>
      <c r="AG7" s="130">
        <f>'1-Ф3'!AG36</f>
        <v>6323.6633875021025</v>
      </c>
      <c r="AH7" s="130">
        <f>'1-Ф3'!AH36</f>
        <v>8348.767315318599</v>
      </c>
      <c r="AI7" s="130">
        <f>'1-Ф3'!AI36</f>
        <v>10518.36243952592</v>
      </c>
      <c r="AJ7" s="130">
        <f>'1-Ф3'!AJ36</f>
        <v>12396.891319943607</v>
      </c>
    </row>
    <row r="8" spans="1:36" ht="15" customHeight="1">
      <c r="A8" s="129" t="s">
        <v>109</v>
      </c>
      <c r="B8" s="125"/>
      <c r="C8" s="130"/>
      <c r="D8" s="130">
        <f>C8+'2-ф2'!D5-'1-Ф3'!D9/Исх!$C$20</f>
        <v>0</v>
      </c>
      <c r="E8" s="130">
        <f>D8+'2-ф2'!E5-'1-Ф3'!E9/Исх!$C$20</f>
        <v>0</v>
      </c>
      <c r="F8" s="130">
        <f>E8+'2-ф2'!F5-'1-Ф3'!F9/Исх!$C$20</f>
        <v>0</v>
      </c>
      <c r="G8" s="130">
        <f>F8+'2-ф2'!G5-'1-Ф3'!G9/Исх!$C$20</f>
        <v>0</v>
      </c>
      <c r="H8" s="130">
        <f>G8+'2-ф2'!H5-'1-Ф3'!H9/Исх!$C$20</f>
        <v>0</v>
      </c>
      <c r="I8" s="130">
        <f>H8+'2-ф2'!I5-'1-Ф3'!I9/Исх!$C$20</f>
        <v>0</v>
      </c>
      <c r="J8" s="130">
        <f>I8+'2-ф2'!J5-'1-Ф3'!J9/Исх!$C$20</f>
        <v>0</v>
      </c>
      <c r="K8" s="130">
        <f>J8+'2-ф2'!K5-'1-Ф3'!K9/Исх!$C$20</f>
        <v>0</v>
      </c>
      <c r="L8" s="130">
        <f>K8+'2-ф2'!L5-'1-Ф3'!L9/Исх!$C$20</f>
        <v>0</v>
      </c>
      <c r="M8" s="130">
        <f>L8+'2-ф2'!M5-'1-Ф3'!M9/Исх!$C$20</f>
        <v>0</v>
      </c>
      <c r="N8" s="130">
        <f>M8+'2-ф2'!N5-'1-Ф3'!N9/Исх!$C$20</f>
        <v>0</v>
      </c>
      <c r="O8" s="130">
        <f>N8+'2-ф2'!O5-'1-Ф3'!O9/Исх!$C$20</f>
        <v>0</v>
      </c>
      <c r="P8" s="130">
        <f>O8</f>
        <v>0</v>
      </c>
      <c r="Q8" s="130">
        <f>P8+'2-ф2'!Q5-'1-Ф3'!Q9/Исх!$C$20</f>
        <v>0</v>
      </c>
      <c r="R8" s="130">
        <f>Q8+'2-ф2'!R5-'1-Ф3'!R9/Исх!$C$20</f>
        <v>0</v>
      </c>
      <c r="S8" s="130">
        <f>R8+'2-ф2'!S5-'1-Ф3'!S9/Исх!$C$20</f>
        <v>0</v>
      </c>
      <c r="T8" s="130">
        <f>S8+'2-ф2'!T5-'1-Ф3'!T9/Исх!$C$20</f>
        <v>0</v>
      </c>
      <c r="U8" s="130">
        <f>T8+'2-ф2'!U5-'1-Ф3'!U9/Исх!$C$20</f>
        <v>0</v>
      </c>
      <c r="V8" s="130">
        <f>U8+'2-ф2'!V5-'1-Ф3'!V9/Исх!$C$20</f>
        <v>0</v>
      </c>
      <c r="W8" s="130">
        <f>V8+'2-ф2'!W5-'1-Ф3'!W9/Исх!$C$20</f>
        <v>0</v>
      </c>
      <c r="X8" s="130">
        <f>W8+'2-ф2'!X5-'1-Ф3'!X9/Исх!$C$20</f>
        <v>0</v>
      </c>
      <c r="Y8" s="130">
        <f>X8+'2-ф2'!Y5-'1-Ф3'!Y9/Исх!$C$20</f>
        <v>0</v>
      </c>
      <c r="Z8" s="130">
        <f>Y8+'2-ф2'!Z5-'1-Ф3'!Z9/Исх!$C$20</f>
        <v>0</v>
      </c>
      <c r="AA8" s="130">
        <f>Z8+'2-ф2'!AA5-'1-Ф3'!AA9/Исх!$C$20</f>
        <v>0</v>
      </c>
      <c r="AB8" s="130">
        <f>AA8+'2-ф2'!AB5-'1-Ф3'!AB9/Исх!$C$20</f>
        <v>0</v>
      </c>
      <c r="AC8" s="130">
        <f>AB8</f>
        <v>0</v>
      </c>
      <c r="AD8" s="130">
        <f>AC8+'2-ф2'!AD5-'1-Ф3'!AD9/Исх!$C$20</f>
        <v>0</v>
      </c>
      <c r="AE8" s="130">
        <f>AD8+'2-ф2'!AE5-'1-Ф3'!AE9/Исх!$C$20</f>
        <v>0</v>
      </c>
      <c r="AF8" s="130">
        <f>AE8+'2-ф2'!AF5-'1-Ф3'!AF9/Исх!$C$20</f>
        <v>0</v>
      </c>
      <c r="AG8" s="130">
        <f>AF8+'2-ф2'!AG5-'1-Ф3'!AG9/Исх!$C$20</f>
        <v>0</v>
      </c>
      <c r="AH8" s="130">
        <f>AG8+'2-ф2'!AH5-'1-Ф3'!AH9/Исх!$C$20</f>
        <v>0</v>
      </c>
      <c r="AI8" s="130">
        <f>AH8+'2-ф2'!AI5-'1-Ф3'!AI9/Исх!$C$20</f>
        <v>0</v>
      </c>
      <c r="AJ8" s="130">
        <f>AI8+'2-ф2'!AJ5-'1-Ф3'!AJ9/Исх!$C$20</f>
        <v>0</v>
      </c>
    </row>
    <row r="9" spans="1:36" ht="12.75">
      <c r="A9" s="129" t="s">
        <v>110</v>
      </c>
      <c r="B9" s="125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>
        <f>O9</f>
        <v>0</v>
      </c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>
        <f>AB9</f>
        <v>0</v>
      </c>
      <c r="AD9" s="130"/>
      <c r="AE9" s="130"/>
      <c r="AF9" s="130"/>
      <c r="AG9" s="130"/>
      <c r="AH9" s="130"/>
      <c r="AI9" s="130"/>
      <c r="AJ9" s="130"/>
    </row>
    <row r="10" spans="1:36" ht="15" customHeight="1">
      <c r="A10" s="129" t="s">
        <v>111</v>
      </c>
      <c r="B10" s="125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>
        <f>O10</f>
        <v>0</v>
      </c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>
        <f>AB10</f>
        <v>0</v>
      </c>
      <c r="AD10" s="130"/>
      <c r="AE10" s="130"/>
      <c r="AF10" s="130"/>
      <c r="AG10" s="130"/>
      <c r="AH10" s="130"/>
      <c r="AI10" s="130"/>
      <c r="AJ10" s="130"/>
    </row>
    <row r="11" spans="1:36" ht="15" customHeight="1">
      <c r="A11" s="124" t="s">
        <v>112</v>
      </c>
      <c r="B11" s="125"/>
      <c r="C11" s="126">
        <f aca="true" t="shared" si="5" ref="C11:AH11">SUM(C12:C14)</f>
        <v>0</v>
      </c>
      <c r="D11" s="126">
        <f t="shared" si="5"/>
        <v>0</v>
      </c>
      <c r="E11" s="126">
        <f t="shared" si="5"/>
        <v>0</v>
      </c>
      <c r="F11" s="126">
        <f t="shared" si="5"/>
        <v>0</v>
      </c>
      <c r="G11" s="126">
        <f t="shared" si="5"/>
        <v>0</v>
      </c>
      <c r="H11" s="126">
        <f t="shared" si="5"/>
        <v>0</v>
      </c>
      <c r="I11" s="126">
        <f t="shared" si="5"/>
        <v>0</v>
      </c>
      <c r="J11" s="126">
        <f t="shared" si="5"/>
        <v>0</v>
      </c>
      <c r="K11" s="126">
        <f t="shared" si="5"/>
        <v>0</v>
      </c>
      <c r="L11" s="126">
        <f t="shared" si="5"/>
        <v>0</v>
      </c>
      <c r="M11" s="126">
        <f t="shared" si="5"/>
        <v>705</v>
      </c>
      <c r="N11" s="126">
        <f t="shared" si="5"/>
        <v>698.0882352941177</v>
      </c>
      <c r="O11" s="126">
        <f t="shared" si="5"/>
        <v>691.1764705882354</v>
      </c>
      <c r="P11" s="126">
        <f t="shared" si="5"/>
        <v>691.1764705882354</v>
      </c>
      <c r="Q11" s="126">
        <f t="shared" si="5"/>
        <v>684.264705882353</v>
      </c>
      <c r="R11" s="126">
        <f t="shared" si="5"/>
        <v>677.3529411764707</v>
      </c>
      <c r="S11" s="126">
        <f t="shared" si="5"/>
        <v>670.4411764705884</v>
      </c>
      <c r="T11" s="126">
        <f t="shared" si="5"/>
        <v>663.5294117647061</v>
      </c>
      <c r="U11" s="126">
        <f t="shared" si="5"/>
        <v>656.6176470588238</v>
      </c>
      <c r="V11" s="126">
        <f t="shared" si="5"/>
        <v>649.7058823529414</v>
      </c>
      <c r="W11" s="126">
        <f t="shared" si="5"/>
        <v>642.7941176470591</v>
      </c>
      <c r="X11" s="126">
        <f t="shared" si="5"/>
        <v>635.8823529411768</v>
      </c>
      <c r="Y11" s="126">
        <f t="shared" si="5"/>
        <v>628.9705882352945</v>
      </c>
      <c r="Z11" s="126">
        <f t="shared" si="5"/>
        <v>622.0588235294122</v>
      </c>
      <c r="AA11" s="126">
        <f t="shared" si="5"/>
        <v>615.1470588235298</v>
      </c>
      <c r="AB11" s="126">
        <f t="shared" si="5"/>
        <v>608.2352941176475</v>
      </c>
      <c r="AC11" s="126">
        <f t="shared" si="5"/>
        <v>608.2352941176475</v>
      </c>
      <c r="AD11" s="126">
        <f t="shared" si="5"/>
        <v>525.2941176470592</v>
      </c>
      <c r="AE11" s="126">
        <f t="shared" si="5"/>
        <v>442.352941176471</v>
      </c>
      <c r="AF11" s="126">
        <f t="shared" si="5"/>
        <v>359.4117647058828</v>
      </c>
      <c r="AG11" s="126">
        <f t="shared" si="5"/>
        <v>276.47058823529454</v>
      </c>
      <c r="AH11" s="126">
        <f t="shared" si="5"/>
        <v>193.5294117647063</v>
      </c>
      <c r="AI11" s="126">
        <f>SUM(AI12:AI14)</f>
        <v>110.58823529411808</v>
      </c>
      <c r="AJ11" s="126">
        <f>SUM(AJ12:AJ14)</f>
        <v>27.647058823529846</v>
      </c>
    </row>
    <row r="12" spans="1:36" ht="12.75">
      <c r="A12" s="129" t="s">
        <v>113</v>
      </c>
      <c r="B12" s="131"/>
      <c r="C12" s="130"/>
      <c r="D12" s="130"/>
      <c r="E12" s="130">
        <f>D12+'1-Ф3'!E22/Исх!$C$20-'2-ф2'!E14</f>
        <v>0</v>
      </c>
      <c r="F12" s="130">
        <f>E12+'1-Ф3'!F22/Исх!$C$20-'2-ф2'!F14</f>
        <v>0</v>
      </c>
      <c r="G12" s="130">
        <f>F12+'1-Ф3'!G22/Исх!$C$20-'2-ф2'!G14</f>
        <v>0</v>
      </c>
      <c r="H12" s="130">
        <f>G12+'1-Ф3'!H22/Исх!$C$20-'2-ф2'!H14</f>
        <v>0</v>
      </c>
      <c r="I12" s="130">
        <f>H12+'1-Ф3'!I22/Исх!$C$20-'2-ф2'!I14</f>
        <v>0</v>
      </c>
      <c r="J12" s="130"/>
      <c r="K12" s="130"/>
      <c r="L12" s="130"/>
      <c r="M12" s="130"/>
      <c r="N12" s="130">
        <f>M13+'1-Ф3'!N22/Исх!$C$20-'2-ф2'!N14</f>
        <v>698.0882352941177</v>
      </c>
      <c r="O12" s="130">
        <f>N12+'1-Ф3'!O22/Исх!$C$20-'2-ф2'!O14</f>
        <v>691.1764705882354</v>
      </c>
      <c r="P12" s="130">
        <f>O12</f>
        <v>691.1764705882354</v>
      </c>
      <c r="Q12" s="130">
        <f>P12+'1-Ф3'!Q22/Исх!$C$20-'2-ф2'!Q14</f>
        <v>684.264705882353</v>
      </c>
      <c r="R12" s="130">
        <f>Q12+'1-Ф3'!R22/Исх!$C$20-'2-ф2'!R14</f>
        <v>677.3529411764707</v>
      </c>
      <c r="S12" s="130">
        <f>R12+'1-Ф3'!S22/Исх!$C$20-'2-ф2'!S14</f>
        <v>670.4411764705884</v>
      </c>
      <c r="T12" s="130">
        <f>S12+'1-Ф3'!T22/Исх!$C$20-'2-ф2'!T14</f>
        <v>663.5294117647061</v>
      </c>
      <c r="U12" s="130">
        <f>T12+'1-Ф3'!U22/Исх!$C$20-'2-ф2'!U14</f>
        <v>656.6176470588238</v>
      </c>
      <c r="V12" s="130">
        <f>U12+'1-Ф3'!V22/Исх!$C$20-'2-ф2'!V14</f>
        <v>649.7058823529414</v>
      </c>
      <c r="W12" s="130">
        <f>V12+'1-Ф3'!W22/Исх!$C$20-'2-ф2'!W14</f>
        <v>642.7941176470591</v>
      </c>
      <c r="X12" s="130">
        <f>W12+'1-Ф3'!X22/Исх!$C$20-'2-ф2'!X14</f>
        <v>635.8823529411768</v>
      </c>
      <c r="Y12" s="130">
        <f>X12+'1-Ф3'!Y22/Исх!$C$20-'2-ф2'!Y14</f>
        <v>628.9705882352945</v>
      </c>
      <c r="Z12" s="130">
        <f>Y12+'1-Ф3'!Z22/Исх!$C$20-'2-ф2'!Z14</f>
        <v>622.0588235294122</v>
      </c>
      <c r="AA12" s="130">
        <f>Z12+'1-Ф3'!AA22/Исх!$C$20-'2-ф2'!AA14</f>
        <v>615.1470588235298</v>
      </c>
      <c r="AB12" s="130">
        <f>AA12+'1-Ф3'!AB22/Исх!$C$20-'2-ф2'!AB14</f>
        <v>608.2352941176475</v>
      </c>
      <c r="AC12" s="130">
        <f>AB12</f>
        <v>608.2352941176475</v>
      </c>
      <c r="AD12" s="130">
        <f>AC12+'1-Ф3'!AD22/Исх!$C$20-'2-ф2'!AD14</f>
        <v>525.2941176470592</v>
      </c>
      <c r="AE12" s="130">
        <f>AD12+'1-Ф3'!AE22/Исх!$C$20-'2-ф2'!AE14</f>
        <v>442.352941176471</v>
      </c>
      <c r="AF12" s="130">
        <f>AE12+'1-Ф3'!AF22/Исх!$C$20-'2-ф2'!AF14</f>
        <v>359.4117647058828</v>
      </c>
      <c r="AG12" s="130">
        <f>AF12+'1-Ф3'!AG22/Исх!$C$20-'2-ф2'!AG14</f>
        <v>276.47058823529454</v>
      </c>
      <c r="AH12" s="130">
        <f>AG12+'1-Ф3'!AH22/Исх!$C$20-'2-ф2'!AH14</f>
        <v>193.5294117647063</v>
      </c>
      <c r="AI12" s="130">
        <f>AH12+'1-Ф3'!AI22/Исх!$C$20-'2-ф2'!AI14</f>
        <v>110.58823529411808</v>
      </c>
      <c r="AJ12" s="130">
        <f>AI12+'1-Ф3'!AJ22/Исх!$C$20-'2-ф2'!AJ14</f>
        <v>27.647058823529846</v>
      </c>
    </row>
    <row r="13" spans="1:36" ht="12.75">
      <c r="A13" s="129" t="s">
        <v>214</v>
      </c>
      <c r="B13" s="131"/>
      <c r="C13" s="130"/>
      <c r="D13" s="130">
        <f>C13+'1-Ф3'!D22/Исх!$C$20-'2-ф2'!D14</f>
        <v>0</v>
      </c>
      <c r="E13" s="130">
        <f>D13+'1-Ф3'!E22/Исх!$C$20-'2-ф2'!E14</f>
        <v>0</v>
      </c>
      <c r="F13" s="130">
        <f>E13+'1-Ф3'!F22/Исх!$C$20-'2-ф2'!F14</f>
        <v>0</v>
      </c>
      <c r="G13" s="130">
        <f>F13+'1-Ф3'!G22/Исх!$C$20-'2-ф2'!G14</f>
        <v>0</v>
      </c>
      <c r="H13" s="130">
        <f>G13+'1-Ф3'!H22/Исх!$C$20-'2-ф2'!H14</f>
        <v>0</v>
      </c>
      <c r="I13" s="130">
        <f>H13+'1-Ф3'!I22/Исх!$C$20-'2-ф2'!I14</f>
        <v>0</v>
      </c>
      <c r="J13" s="130">
        <f>I13+'1-Ф3'!J22/Исх!$C$20-'2-ф2'!J14</f>
        <v>0</v>
      </c>
      <c r="K13" s="130">
        <f>J13+'1-Ф3'!K22/Исх!$C$20-'2-ф2'!K14</f>
        <v>0</v>
      </c>
      <c r="L13" s="130">
        <f>K13+'1-Ф3'!L22/Исх!$C$20-'2-ф2'!L14</f>
        <v>0</v>
      </c>
      <c r="M13" s="130">
        <f>L13+'1-Ф3'!M22/Исх!$C$20-'2-ф2'!M14</f>
        <v>705</v>
      </c>
      <c r="N13" s="130"/>
      <c r="O13" s="130"/>
      <c r="P13" s="130">
        <f>O13</f>
        <v>0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>
        <f>Y13</f>
        <v>0</v>
      </c>
      <c r="AA13" s="130">
        <f>Z13</f>
        <v>0</v>
      </c>
      <c r="AB13" s="130">
        <f>AA13</f>
        <v>0</v>
      </c>
      <c r="AC13" s="130">
        <f>AB13</f>
        <v>0</v>
      </c>
      <c r="AD13" s="130">
        <f aca="true" t="shared" si="6" ref="AD13:AJ13">AC13</f>
        <v>0</v>
      </c>
      <c r="AE13" s="130">
        <f t="shared" si="6"/>
        <v>0</v>
      </c>
      <c r="AF13" s="130">
        <f t="shared" si="6"/>
        <v>0</v>
      </c>
      <c r="AG13" s="130">
        <f t="shared" si="6"/>
        <v>0</v>
      </c>
      <c r="AH13" s="130">
        <f t="shared" si="6"/>
        <v>0</v>
      </c>
      <c r="AI13" s="130">
        <f t="shared" si="6"/>
        <v>0</v>
      </c>
      <c r="AJ13" s="130">
        <f t="shared" si="6"/>
        <v>0</v>
      </c>
    </row>
    <row r="14" spans="1:36" ht="12.75">
      <c r="A14" s="129" t="s">
        <v>114</v>
      </c>
      <c r="B14" s="131"/>
      <c r="C14" s="130"/>
      <c r="D14" s="130">
        <f>IF('2-ф2'!D29&lt;0,-'2-ф2'!D29,0)</f>
        <v>0</v>
      </c>
      <c r="E14" s="130">
        <f>IF('2-ф2'!E29&lt;0,-'2-ф2'!E29,0)</f>
        <v>0</v>
      </c>
      <c r="F14" s="130">
        <f>IF('2-ф2'!F29&lt;0,-'2-ф2'!F29,0)</f>
        <v>0</v>
      </c>
      <c r="G14" s="130">
        <f>IF('2-ф2'!G29&lt;0,-'2-ф2'!G29,0)</f>
        <v>0</v>
      </c>
      <c r="H14" s="130">
        <f>IF('2-ф2'!H29&lt;0,-'2-ф2'!H29,0)</f>
        <v>0</v>
      </c>
      <c r="I14" s="130">
        <f>IF('2-ф2'!I29&lt;0,-'2-ф2'!I29,0)</f>
        <v>0</v>
      </c>
      <c r="J14" s="130">
        <f>IF('2-ф2'!J29&lt;0,-'2-ф2'!J29,0)</f>
        <v>0</v>
      </c>
      <c r="K14" s="130">
        <f>IF('2-ф2'!K29&lt;0,-'2-ф2'!K29,0)</f>
        <v>0</v>
      </c>
      <c r="L14" s="130">
        <f>IF('2-ф2'!L29&lt;0,-'2-ф2'!L29,0)</f>
        <v>0</v>
      </c>
      <c r="M14" s="130">
        <f>IF('2-ф2'!M29&lt;0,-'2-ф2'!M29,0)</f>
        <v>0</v>
      </c>
      <c r="N14" s="130">
        <f>IF('2-ф2'!N29&lt;0,-'2-ф2'!N29,0)</f>
        <v>0</v>
      </c>
      <c r="O14" s="130">
        <f>IF('2-ф2'!O29&lt;0,-'2-ф2'!O29,0)</f>
        <v>0</v>
      </c>
      <c r="P14" s="130">
        <f>O14</f>
        <v>0</v>
      </c>
      <c r="Q14" s="130">
        <f>IF('2-ф2'!Q29&lt;0,-'2-ф2'!Q29,0)</f>
        <v>0</v>
      </c>
      <c r="R14" s="130">
        <f>IF('2-ф2'!R29&lt;0,-'2-ф2'!R29,0)</f>
        <v>0</v>
      </c>
      <c r="S14" s="130">
        <f>IF('2-ф2'!S29&lt;0,-'2-ф2'!S29,0)</f>
        <v>0</v>
      </c>
      <c r="T14" s="130">
        <f>IF('2-ф2'!T29&lt;0,-'2-ф2'!T29,0)</f>
        <v>0</v>
      </c>
      <c r="U14" s="130">
        <f>IF('2-ф2'!U29&lt;0,-'2-ф2'!U29,0)</f>
        <v>0</v>
      </c>
      <c r="V14" s="130">
        <f>IF('2-ф2'!V29&lt;0,-'2-ф2'!V29,0)</f>
        <v>0</v>
      </c>
      <c r="W14" s="130">
        <f>IF('2-ф2'!W29&lt;0,-'2-ф2'!W29,0)</f>
        <v>0</v>
      </c>
      <c r="X14" s="130">
        <f>IF('2-ф2'!X29&lt;0,-'2-ф2'!X29,0)</f>
        <v>0</v>
      </c>
      <c r="Y14" s="130">
        <f>IF('2-ф2'!Y29&lt;0,-'2-ф2'!Y29,0)</f>
        <v>0</v>
      </c>
      <c r="Z14" s="130">
        <f>IF('2-ф2'!Z29&lt;0,-'2-ф2'!Z29,0)</f>
        <v>0</v>
      </c>
      <c r="AA14" s="130">
        <f>IF('2-ф2'!AA29&lt;0,-'2-ф2'!AA29,0)</f>
        <v>0</v>
      </c>
      <c r="AB14" s="130">
        <f>IF('2-ф2'!AB29&lt;0,-'2-ф2'!AB29,0)</f>
        <v>0</v>
      </c>
      <c r="AC14" s="130">
        <f>AB14</f>
        <v>0</v>
      </c>
      <c r="AD14" s="130">
        <f>IF('2-ф2'!AD29&lt;0,-'2-ф2'!AD29,0)</f>
        <v>0</v>
      </c>
      <c r="AE14" s="130">
        <f>IF('2-ф2'!AE29&lt;0,-'2-ф2'!AE29,0)</f>
        <v>0</v>
      </c>
      <c r="AF14" s="130">
        <f>IF('2-ф2'!AF29&lt;0,-'2-ф2'!AF29,0)</f>
        <v>0</v>
      </c>
      <c r="AG14" s="130">
        <f>IF('2-ф2'!AG29&lt;0,-'2-ф2'!AG29,0)</f>
        <v>0</v>
      </c>
      <c r="AH14" s="130">
        <f>IF('2-ф2'!AH29&lt;0,-'2-ф2'!AH29,0)</f>
        <v>0</v>
      </c>
      <c r="AI14" s="130">
        <f>IF('2-ф2'!AI29&lt;0,-'2-ф2'!AI29,0)</f>
        <v>0</v>
      </c>
      <c r="AJ14" s="130">
        <f>IF('2-ф2'!AJ29&lt;0,-'2-ф2'!AJ29,0)</f>
        <v>0</v>
      </c>
    </row>
    <row r="15" spans="1:184" ht="12.7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</row>
    <row r="16" spans="1:42" s="128" customFormat="1" ht="15" customHeight="1">
      <c r="A16" s="124" t="s">
        <v>115</v>
      </c>
      <c r="B16" s="125"/>
      <c r="C16" s="125">
        <f aca="true" t="shared" si="7" ref="C16:AH16">C21+C24+C17</f>
        <v>0</v>
      </c>
      <c r="D16" s="125">
        <f t="shared" si="7"/>
        <v>0</v>
      </c>
      <c r="E16" s="125">
        <f t="shared" si="7"/>
        <v>0</v>
      </c>
      <c r="F16" s="125">
        <f t="shared" si="7"/>
        <v>0</v>
      </c>
      <c r="G16" s="125">
        <f t="shared" si="7"/>
        <v>0</v>
      </c>
      <c r="H16" s="125">
        <f t="shared" si="7"/>
        <v>0</v>
      </c>
      <c r="I16" s="125">
        <f t="shared" si="7"/>
        <v>0</v>
      </c>
      <c r="J16" s="125">
        <f t="shared" si="7"/>
        <v>0</v>
      </c>
      <c r="K16" s="125">
        <f t="shared" si="7"/>
        <v>0</v>
      </c>
      <c r="L16" s="125">
        <f t="shared" si="7"/>
        <v>0</v>
      </c>
      <c r="M16" s="125">
        <f t="shared" si="7"/>
        <v>705</v>
      </c>
      <c r="N16" s="125">
        <f t="shared" si="7"/>
        <v>708.1654117941176</v>
      </c>
      <c r="O16" s="125">
        <f t="shared" si="7"/>
        <v>729.3008235882353</v>
      </c>
      <c r="P16" s="125">
        <f t="shared" si="7"/>
        <v>729.3008235882353</v>
      </c>
      <c r="Q16" s="125">
        <f t="shared" si="7"/>
        <v>763.801375457353</v>
      </c>
      <c r="R16" s="125">
        <f t="shared" si="7"/>
        <v>799.7518578165365</v>
      </c>
      <c r="S16" s="125">
        <f t="shared" si="7"/>
        <v>853.6723401757199</v>
      </c>
      <c r="T16" s="125">
        <f t="shared" si="7"/>
        <v>925.5628225349035</v>
      </c>
      <c r="U16" s="125">
        <f t="shared" si="7"/>
        <v>997.453304894087</v>
      </c>
      <c r="V16" s="125">
        <f t="shared" si="7"/>
        <v>877.8237872532704</v>
      </c>
      <c r="W16" s="125">
        <f t="shared" si="7"/>
        <v>758.1942696124539</v>
      </c>
      <c r="X16" s="125">
        <f t="shared" si="7"/>
        <v>638.5647519716374</v>
      </c>
      <c r="Y16" s="125">
        <f t="shared" si="7"/>
        <v>710.4552343308209</v>
      </c>
      <c r="Z16" s="125">
        <f t="shared" si="7"/>
        <v>770.2857166900043</v>
      </c>
      <c r="AA16" s="125">
        <f t="shared" si="7"/>
        <v>866.0561990491877</v>
      </c>
      <c r="AB16" s="125">
        <f t="shared" si="7"/>
        <v>997.7666814083711</v>
      </c>
      <c r="AC16" s="125">
        <f t="shared" si="7"/>
        <v>997.7666814083711</v>
      </c>
      <c r="AD16" s="125">
        <f t="shared" si="7"/>
        <v>1873.8312346635726</v>
      </c>
      <c r="AE16" s="125">
        <f t="shared" si="7"/>
        <v>3162.6728801308923</v>
      </c>
      <c r="AF16" s="125">
        <f t="shared" si="7"/>
        <v>4805.850459049416</v>
      </c>
      <c r="AG16" s="125">
        <f t="shared" si="7"/>
        <v>6600.133975737395</v>
      </c>
      <c r="AH16" s="125">
        <f t="shared" si="7"/>
        <v>8542.296727083303</v>
      </c>
      <c r="AI16" s="125">
        <f>AI21+AI24+AI17</f>
        <v>10628.950674820037</v>
      </c>
      <c r="AJ16" s="125">
        <f>AJ21+AJ24+AJ17</f>
        <v>12424.538378767136</v>
      </c>
      <c r="AK16" s="127"/>
      <c r="AL16" s="127"/>
      <c r="AM16" s="127"/>
      <c r="AN16" s="127"/>
      <c r="AO16" s="127"/>
      <c r="AP16" s="127"/>
    </row>
    <row r="17" spans="1:36" ht="15" customHeight="1">
      <c r="A17" s="124" t="s">
        <v>116</v>
      </c>
      <c r="B17" s="125"/>
      <c r="C17" s="125">
        <f aca="true" t="shared" si="8" ref="C17:AH17">SUM(C18:C20)</f>
        <v>0</v>
      </c>
      <c r="D17" s="125">
        <f t="shared" si="8"/>
        <v>0</v>
      </c>
      <c r="E17" s="125">
        <f t="shared" si="8"/>
        <v>0</v>
      </c>
      <c r="F17" s="125">
        <f t="shared" si="8"/>
        <v>0</v>
      </c>
      <c r="G17" s="125">
        <f t="shared" si="8"/>
        <v>0</v>
      </c>
      <c r="H17" s="125">
        <f t="shared" si="8"/>
        <v>0</v>
      </c>
      <c r="I17" s="125">
        <f t="shared" si="8"/>
        <v>0</v>
      </c>
      <c r="J17" s="125">
        <f t="shared" si="8"/>
        <v>0</v>
      </c>
      <c r="K17" s="125">
        <f t="shared" si="8"/>
        <v>0</v>
      </c>
      <c r="L17" s="125">
        <f t="shared" si="8"/>
        <v>0</v>
      </c>
      <c r="M17" s="125">
        <f t="shared" si="8"/>
        <v>0</v>
      </c>
      <c r="N17" s="125">
        <f t="shared" si="8"/>
        <v>0</v>
      </c>
      <c r="O17" s="125">
        <f t="shared" si="8"/>
        <v>0</v>
      </c>
      <c r="P17" s="125">
        <f t="shared" si="8"/>
        <v>0</v>
      </c>
      <c r="Q17" s="125">
        <f t="shared" si="8"/>
        <v>0</v>
      </c>
      <c r="R17" s="125">
        <f t="shared" si="8"/>
        <v>0</v>
      </c>
      <c r="S17" s="125">
        <f t="shared" si="8"/>
        <v>0</v>
      </c>
      <c r="T17" s="125">
        <f t="shared" si="8"/>
        <v>0</v>
      </c>
      <c r="U17" s="125">
        <f t="shared" si="8"/>
        <v>0</v>
      </c>
      <c r="V17" s="125">
        <f t="shared" si="8"/>
        <v>0</v>
      </c>
      <c r="W17" s="125">
        <f t="shared" si="8"/>
        <v>0</v>
      </c>
      <c r="X17" s="125">
        <f t="shared" si="8"/>
        <v>0</v>
      </c>
      <c r="Y17" s="125">
        <f t="shared" si="8"/>
        <v>0</v>
      </c>
      <c r="Z17" s="125">
        <f t="shared" si="8"/>
        <v>0</v>
      </c>
      <c r="AA17" s="125">
        <f t="shared" si="8"/>
        <v>0</v>
      </c>
      <c r="AB17" s="125">
        <f t="shared" si="8"/>
        <v>0</v>
      </c>
      <c r="AC17" s="125">
        <f t="shared" si="8"/>
        <v>0</v>
      </c>
      <c r="AD17" s="125">
        <f t="shared" si="8"/>
        <v>0</v>
      </c>
      <c r="AE17" s="125">
        <f t="shared" si="8"/>
        <v>0</v>
      </c>
      <c r="AF17" s="125">
        <f t="shared" si="8"/>
        <v>0</v>
      </c>
      <c r="AG17" s="125">
        <f t="shared" si="8"/>
        <v>0</v>
      </c>
      <c r="AH17" s="125">
        <f t="shared" si="8"/>
        <v>0</v>
      </c>
      <c r="AI17" s="125">
        <f>SUM(AI18:AI20)</f>
        <v>0</v>
      </c>
      <c r="AJ17" s="125">
        <f>SUM(AJ18:AJ20)</f>
        <v>0</v>
      </c>
    </row>
    <row r="18" spans="1:36" ht="12.75">
      <c r="A18" s="129" t="s">
        <v>117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>
        <f>O18</f>
        <v>0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>
        <f>AB18</f>
        <v>0</v>
      </c>
      <c r="AD18" s="131"/>
      <c r="AE18" s="131"/>
      <c r="AF18" s="131"/>
      <c r="AG18" s="131"/>
      <c r="AH18" s="131"/>
      <c r="AI18" s="131"/>
      <c r="AJ18" s="131"/>
    </row>
    <row r="19" spans="1:36" ht="12.75">
      <c r="A19" s="129" t="s">
        <v>184</v>
      </c>
      <c r="B19" s="131"/>
      <c r="C19" s="131"/>
      <c r="D19" s="131">
        <f>C19+'2-ф2'!D15-'1-Ф3'!D16-кр!C8</f>
        <v>0</v>
      </c>
      <c r="E19" s="131">
        <f>D19+'2-ф2'!E15-'1-Ф3'!E16-кр!D8</f>
        <v>0</v>
      </c>
      <c r="F19" s="131">
        <f>E19+'2-ф2'!F15-'1-Ф3'!F16-кр!E8</f>
        <v>0</v>
      </c>
      <c r="G19" s="131">
        <f>F19+'2-ф2'!G15-'1-Ф3'!G16-кр!F8</f>
        <v>0</v>
      </c>
      <c r="H19" s="131">
        <f>G19+'2-ф2'!H15-'1-Ф3'!H16-кр!G8</f>
        <v>0</v>
      </c>
      <c r="I19" s="131">
        <f>H19+'2-ф2'!I15-'1-Ф3'!I16-кр!H8</f>
        <v>0</v>
      </c>
      <c r="J19" s="131">
        <f>I19+'2-ф2'!J15-'1-Ф3'!J16-кр!I8</f>
        <v>0</v>
      </c>
      <c r="K19" s="131">
        <f>J19+'2-ф2'!K15-'1-Ф3'!K16-кр!J8</f>
        <v>0</v>
      </c>
      <c r="L19" s="131">
        <f>K19+'2-ф2'!L15-'1-Ф3'!L16-кр!K8</f>
        <v>0</v>
      </c>
      <c r="M19" s="131">
        <f>L19+'2-ф2'!M15-'1-Ф3'!M16-кр!L8</f>
        <v>0</v>
      </c>
      <c r="N19" s="131">
        <f>M19+'2-ф2'!N15-'1-Ф3'!N16-кр!M8</f>
        <v>0</v>
      </c>
      <c r="O19" s="131">
        <f>N19+'2-ф2'!O15-'1-Ф3'!O16-кр!N8</f>
        <v>0</v>
      </c>
      <c r="P19" s="131">
        <f>O19</f>
        <v>0</v>
      </c>
      <c r="Q19" s="131">
        <f>P19+'2-ф2'!Q15-'1-Ф3'!Q16-кр!P8</f>
        <v>0</v>
      </c>
      <c r="R19" s="131">
        <f>Q19+'2-ф2'!R15-'1-Ф3'!R16-кр!Q8</f>
        <v>0</v>
      </c>
      <c r="S19" s="131">
        <f>R19+'2-ф2'!S15-'1-Ф3'!S16-кр!R8</f>
        <v>0</v>
      </c>
      <c r="T19" s="131">
        <f>S19+'2-ф2'!T15-'1-Ф3'!T16-кр!S8</f>
        <v>0</v>
      </c>
      <c r="U19" s="131">
        <f>T19+'2-ф2'!U15-'1-Ф3'!U16-кр!T8</f>
        <v>0</v>
      </c>
      <c r="V19" s="131">
        <f>U19+'2-ф2'!V15-'1-Ф3'!V16-кр!U8</f>
        <v>0</v>
      </c>
      <c r="W19" s="131">
        <f>V19+'2-ф2'!W15-'1-Ф3'!W16-кр!V8</f>
        <v>0</v>
      </c>
      <c r="X19" s="131">
        <f>W19+'2-ф2'!X15-'1-Ф3'!X16-кр!W8</f>
        <v>0</v>
      </c>
      <c r="Y19" s="131">
        <f>X19+'2-ф2'!Y15-'1-Ф3'!Y16-кр!X8</f>
        <v>0</v>
      </c>
      <c r="Z19" s="131">
        <f>Y19+'2-ф2'!Z15-'1-Ф3'!Z16-кр!Y8</f>
        <v>0</v>
      </c>
      <c r="AA19" s="131">
        <f>Z19+'2-ф2'!AA15-'1-Ф3'!AA16-кр!Z8</f>
        <v>0</v>
      </c>
      <c r="AB19" s="131">
        <f>AA19+'2-ф2'!AB15-'1-Ф3'!AB16-кр!AA8</f>
        <v>0</v>
      </c>
      <c r="AC19" s="131">
        <f>AB19</f>
        <v>0</v>
      </c>
      <c r="AD19" s="131">
        <f>AC19+'2-ф2'!AD15-'1-Ф3'!AD16</f>
        <v>0</v>
      </c>
      <c r="AE19" s="131">
        <f>AD19+'2-ф2'!AE15-'1-Ф3'!AE16</f>
        <v>0</v>
      </c>
      <c r="AF19" s="131">
        <f>AE19+'2-ф2'!AF15-'1-Ф3'!AF16</f>
        <v>0</v>
      </c>
      <c r="AG19" s="131">
        <f>AF19+'2-ф2'!AG15-'1-Ф3'!AG16</f>
        <v>0</v>
      </c>
      <c r="AH19" s="131">
        <f>AG19+'2-ф2'!AH15-'1-Ф3'!AH16</f>
        <v>0</v>
      </c>
      <c r="AI19" s="131">
        <f>AH19+'2-ф2'!AI15-'1-Ф3'!AI16</f>
        <v>0</v>
      </c>
      <c r="AJ19" s="131">
        <f>AI19+'2-ф2'!AJ15-'1-Ф3'!AJ16</f>
        <v>0</v>
      </c>
    </row>
    <row r="20" spans="1:36" ht="12.75">
      <c r="A20" s="129" t="s">
        <v>185</v>
      </c>
      <c r="B20" s="131"/>
      <c r="C20" s="131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31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31">
        <f>AB20</f>
        <v>0</v>
      </c>
      <c r="AD20" s="131"/>
      <c r="AE20" s="131"/>
      <c r="AF20" s="131"/>
      <c r="AG20" s="131"/>
      <c r="AH20" s="131"/>
      <c r="AI20" s="131"/>
      <c r="AJ20" s="131"/>
    </row>
    <row r="21" spans="1:36" ht="15" customHeight="1">
      <c r="A21" s="124" t="s">
        <v>118</v>
      </c>
      <c r="B21" s="125"/>
      <c r="C21" s="125">
        <f aca="true" t="shared" si="9" ref="C21:AH21">SUM(C22:C23)</f>
        <v>0</v>
      </c>
      <c r="D21" s="125">
        <f t="shared" si="9"/>
        <v>0</v>
      </c>
      <c r="E21" s="125">
        <f t="shared" si="9"/>
        <v>0</v>
      </c>
      <c r="F21" s="125">
        <f t="shared" si="9"/>
        <v>0</v>
      </c>
      <c r="G21" s="125">
        <f t="shared" si="9"/>
        <v>0</v>
      </c>
      <c r="H21" s="125">
        <f t="shared" si="9"/>
        <v>0</v>
      </c>
      <c r="I21" s="125">
        <f t="shared" si="9"/>
        <v>0</v>
      </c>
      <c r="J21" s="125">
        <f t="shared" si="9"/>
        <v>0</v>
      </c>
      <c r="K21" s="125">
        <f t="shared" si="9"/>
        <v>0</v>
      </c>
      <c r="L21" s="125">
        <f t="shared" si="9"/>
        <v>0</v>
      </c>
      <c r="M21" s="125">
        <f t="shared" si="9"/>
        <v>599.25</v>
      </c>
      <c r="N21" s="125">
        <f t="shared" si="9"/>
        <v>599.25</v>
      </c>
      <c r="O21" s="125">
        <f t="shared" si="9"/>
        <v>599.25</v>
      </c>
      <c r="P21" s="125">
        <f t="shared" si="9"/>
        <v>599.25</v>
      </c>
      <c r="Q21" s="125">
        <f t="shared" si="9"/>
        <v>599.25</v>
      </c>
      <c r="R21" s="125">
        <f t="shared" si="9"/>
        <v>582.7299304900658</v>
      </c>
      <c r="S21" s="125">
        <f t="shared" si="9"/>
        <v>566.1134939079903</v>
      </c>
      <c r="T21" s="125">
        <f t="shared" si="9"/>
        <v>549.4001281125195</v>
      </c>
      <c r="U21" s="125">
        <f t="shared" si="9"/>
        <v>532.5892676832417</v>
      </c>
      <c r="V21" s="125">
        <f t="shared" si="9"/>
        <v>515.6803439014598</v>
      </c>
      <c r="W21" s="125">
        <f t="shared" si="9"/>
        <v>498.67278473095075</v>
      </c>
      <c r="X21" s="125">
        <f t="shared" si="9"/>
        <v>481.56601479861376</v>
      </c>
      <c r="Y21" s="125">
        <f t="shared" si="9"/>
        <v>464.3594553750048</v>
      </c>
      <c r="Z21" s="125">
        <f t="shared" si="9"/>
        <v>447.05252435475813</v>
      </c>
      <c r="AA21" s="125">
        <f t="shared" si="9"/>
        <v>429.64463623689335</v>
      </c>
      <c r="AB21" s="125">
        <f t="shared" si="9"/>
        <v>412.1352021050077</v>
      </c>
      <c r="AC21" s="125">
        <f t="shared" si="9"/>
        <v>412.1352021050077</v>
      </c>
      <c r="AD21" s="125">
        <f t="shared" si="9"/>
        <v>193.88228784313327</v>
      </c>
      <c r="AE21" s="125">
        <f t="shared" si="9"/>
        <v>1.7763568394002505E-12</v>
      </c>
      <c r="AF21" s="125">
        <f t="shared" si="9"/>
        <v>1.7763568394002505E-12</v>
      </c>
      <c r="AG21" s="125">
        <f t="shared" si="9"/>
        <v>1.7763568394002505E-12</v>
      </c>
      <c r="AH21" s="125">
        <f t="shared" si="9"/>
        <v>1.7763568394002505E-12</v>
      </c>
      <c r="AI21" s="125">
        <f>SUM(AI22:AI23)</f>
        <v>1.7763568394002505E-12</v>
      </c>
      <c r="AJ21" s="125">
        <f>SUM(AJ22:AJ23)</f>
        <v>1.7763568394002505E-12</v>
      </c>
    </row>
    <row r="22" spans="1:36" ht="12.75">
      <c r="A22" s="129" t="s">
        <v>117</v>
      </c>
      <c r="B22" s="131"/>
      <c r="C22" s="125"/>
      <c r="D22" s="131">
        <f>кр!C12</f>
        <v>0</v>
      </c>
      <c r="E22" s="131">
        <f>кр!D12</f>
        <v>0</v>
      </c>
      <c r="F22" s="131">
        <f>кр!E12</f>
        <v>0</v>
      </c>
      <c r="G22" s="131">
        <f>кр!F12</f>
        <v>0</v>
      </c>
      <c r="H22" s="131">
        <f>кр!G12</f>
        <v>0</v>
      </c>
      <c r="I22" s="131">
        <f>кр!H12</f>
        <v>0</v>
      </c>
      <c r="J22" s="131">
        <f>кр!I12</f>
        <v>0</v>
      </c>
      <c r="K22" s="131">
        <f>кр!J12</f>
        <v>0</v>
      </c>
      <c r="L22" s="131">
        <f>кр!K12</f>
        <v>0</v>
      </c>
      <c r="M22" s="131">
        <f>кр!L12</f>
        <v>599.25</v>
      </c>
      <c r="N22" s="131">
        <f>кр!M12</f>
        <v>599.25</v>
      </c>
      <c r="O22" s="131">
        <f>кр!N12</f>
        <v>599.25</v>
      </c>
      <c r="P22" s="131">
        <f>кр!O12</f>
        <v>599.25</v>
      </c>
      <c r="Q22" s="131">
        <f>кр!P12</f>
        <v>599.25</v>
      </c>
      <c r="R22" s="131">
        <f>кр!Q12</f>
        <v>582.7299304900658</v>
      </c>
      <c r="S22" s="131">
        <f>кр!R12</f>
        <v>566.1134939079903</v>
      </c>
      <c r="T22" s="131">
        <f>кр!S12</f>
        <v>549.4001281125195</v>
      </c>
      <c r="U22" s="131">
        <f>кр!T12</f>
        <v>532.5892676832417</v>
      </c>
      <c r="V22" s="131">
        <f>кр!U12</f>
        <v>515.6803439014598</v>
      </c>
      <c r="W22" s="131">
        <f>кр!V12</f>
        <v>498.67278473095075</v>
      </c>
      <c r="X22" s="131">
        <f>кр!W12</f>
        <v>481.56601479861376</v>
      </c>
      <c r="Y22" s="131">
        <f>кр!X12</f>
        <v>464.3594553750048</v>
      </c>
      <c r="Z22" s="131">
        <f>кр!Y12</f>
        <v>447.05252435475813</v>
      </c>
      <c r="AA22" s="131">
        <f>кр!Z12</f>
        <v>429.64463623689335</v>
      </c>
      <c r="AB22" s="131">
        <f>кр!AA12</f>
        <v>412.1352021050077</v>
      </c>
      <c r="AC22" s="131">
        <f>кр!AB12</f>
        <v>412.1352021050077</v>
      </c>
      <c r="AD22" s="131">
        <f>кр!AO12</f>
        <v>193.88228784313327</v>
      </c>
      <c r="AE22" s="131">
        <f>кр!BB12</f>
        <v>1.7763568394002505E-12</v>
      </c>
      <c r="AF22" s="131">
        <f>кр!BO12</f>
        <v>1.7763568394002505E-12</v>
      </c>
      <c r="AG22" s="131">
        <f>кр!CB12</f>
        <v>1.7763568394002505E-12</v>
      </c>
      <c r="AH22" s="131">
        <f>кр!CO12</f>
        <v>1.7763568394002505E-12</v>
      </c>
      <c r="AI22" s="131">
        <f>кр!DB12</f>
        <v>1.7763568394002505E-12</v>
      </c>
      <c r="AJ22" s="131">
        <f>кр!DO12</f>
        <v>1.7763568394002505E-12</v>
      </c>
    </row>
    <row r="23" spans="1:36" ht="15" customHeight="1" hidden="1">
      <c r="A23" s="129" t="s">
        <v>119</v>
      </c>
      <c r="B23" s="131"/>
      <c r="C23" s="131"/>
      <c r="D23" s="131">
        <f>C23</f>
        <v>0</v>
      </c>
      <c r="E23" s="131">
        <f>D23</f>
        <v>0</v>
      </c>
      <c r="F23" s="131">
        <f aca="true" t="shared" si="10" ref="F23:AJ23">E23</f>
        <v>0</v>
      </c>
      <c r="G23" s="131">
        <f t="shared" si="10"/>
        <v>0</v>
      </c>
      <c r="H23" s="131">
        <f t="shared" si="10"/>
        <v>0</v>
      </c>
      <c r="I23" s="131">
        <f t="shared" si="10"/>
        <v>0</v>
      </c>
      <c r="J23" s="131">
        <f t="shared" si="10"/>
        <v>0</v>
      </c>
      <c r="K23" s="131">
        <f t="shared" si="10"/>
        <v>0</v>
      </c>
      <c r="L23" s="131">
        <f t="shared" si="10"/>
        <v>0</v>
      </c>
      <c r="M23" s="131">
        <f t="shared" si="10"/>
        <v>0</v>
      </c>
      <c r="N23" s="131">
        <f t="shared" si="10"/>
        <v>0</v>
      </c>
      <c r="O23" s="131">
        <f t="shared" si="10"/>
        <v>0</v>
      </c>
      <c r="P23" s="131">
        <f t="shared" si="10"/>
        <v>0</v>
      </c>
      <c r="Q23" s="131">
        <f t="shared" si="10"/>
        <v>0</v>
      </c>
      <c r="R23" s="131">
        <f t="shared" si="10"/>
        <v>0</v>
      </c>
      <c r="S23" s="131">
        <f t="shared" si="10"/>
        <v>0</v>
      </c>
      <c r="T23" s="131">
        <f t="shared" si="10"/>
        <v>0</v>
      </c>
      <c r="U23" s="131">
        <f t="shared" si="10"/>
        <v>0</v>
      </c>
      <c r="V23" s="131">
        <f t="shared" si="10"/>
        <v>0</v>
      </c>
      <c r="W23" s="131">
        <f t="shared" si="10"/>
        <v>0</v>
      </c>
      <c r="X23" s="131">
        <f t="shared" si="10"/>
        <v>0</v>
      </c>
      <c r="Y23" s="131">
        <f t="shared" si="10"/>
        <v>0</v>
      </c>
      <c r="Z23" s="131">
        <f t="shared" si="10"/>
        <v>0</v>
      </c>
      <c r="AA23" s="131">
        <f t="shared" si="10"/>
        <v>0</v>
      </c>
      <c r="AB23" s="131">
        <f t="shared" si="10"/>
        <v>0</v>
      </c>
      <c r="AC23" s="125">
        <f>AB23</f>
        <v>0</v>
      </c>
      <c r="AD23" s="131">
        <f t="shared" si="10"/>
        <v>0</v>
      </c>
      <c r="AE23" s="131">
        <f t="shared" si="10"/>
        <v>0</v>
      </c>
      <c r="AF23" s="131">
        <f t="shared" si="10"/>
        <v>0</v>
      </c>
      <c r="AG23" s="131">
        <f t="shared" si="10"/>
        <v>0</v>
      </c>
      <c r="AH23" s="131">
        <f t="shared" si="10"/>
        <v>0</v>
      </c>
      <c r="AI23" s="131">
        <f t="shared" si="10"/>
        <v>0</v>
      </c>
      <c r="AJ23" s="131">
        <f t="shared" si="10"/>
        <v>0</v>
      </c>
    </row>
    <row r="24" spans="1:36" s="128" customFormat="1" ht="15" customHeight="1">
      <c r="A24" s="124" t="s">
        <v>120</v>
      </c>
      <c r="B24" s="125"/>
      <c r="C24" s="125">
        <f aca="true" t="shared" si="11" ref="C24:AH24">SUM(C25:C26)</f>
        <v>0</v>
      </c>
      <c r="D24" s="125">
        <f t="shared" si="11"/>
        <v>0</v>
      </c>
      <c r="E24" s="125">
        <f t="shared" si="11"/>
        <v>0</v>
      </c>
      <c r="F24" s="125">
        <f t="shared" si="11"/>
        <v>0</v>
      </c>
      <c r="G24" s="125">
        <f t="shared" si="11"/>
        <v>0</v>
      </c>
      <c r="H24" s="125">
        <f t="shared" si="11"/>
        <v>0</v>
      </c>
      <c r="I24" s="125">
        <f t="shared" si="11"/>
        <v>0</v>
      </c>
      <c r="J24" s="125">
        <f t="shared" si="11"/>
        <v>0</v>
      </c>
      <c r="K24" s="125">
        <f t="shared" si="11"/>
        <v>0</v>
      </c>
      <c r="L24" s="125">
        <f t="shared" si="11"/>
        <v>0</v>
      </c>
      <c r="M24" s="125">
        <f t="shared" si="11"/>
        <v>105.75</v>
      </c>
      <c r="N24" s="125">
        <f t="shared" si="11"/>
        <v>108.91541179411766</v>
      </c>
      <c r="O24" s="125">
        <f t="shared" si="11"/>
        <v>130.05082358823532</v>
      </c>
      <c r="P24" s="125">
        <f t="shared" si="11"/>
        <v>130.05082358823532</v>
      </c>
      <c r="Q24" s="125">
        <f t="shared" si="11"/>
        <v>164.55137545735298</v>
      </c>
      <c r="R24" s="125">
        <f t="shared" si="11"/>
        <v>217.02192732647063</v>
      </c>
      <c r="S24" s="125">
        <f t="shared" si="11"/>
        <v>287.55884626772956</v>
      </c>
      <c r="T24" s="125">
        <f t="shared" si="11"/>
        <v>376.16269442238394</v>
      </c>
      <c r="U24" s="125">
        <f t="shared" si="11"/>
        <v>464.86403721084525</v>
      </c>
      <c r="V24" s="125">
        <f t="shared" si="11"/>
        <v>362.1434433518107</v>
      </c>
      <c r="W24" s="125">
        <f t="shared" si="11"/>
        <v>259.52148488150317</v>
      </c>
      <c r="X24" s="125">
        <f t="shared" si="11"/>
        <v>156.9987371730236</v>
      </c>
      <c r="Y24" s="125">
        <f t="shared" si="11"/>
        <v>246.09577895581603</v>
      </c>
      <c r="Z24" s="125">
        <f t="shared" si="11"/>
        <v>323.23319233524614</v>
      </c>
      <c r="AA24" s="125">
        <f t="shared" si="11"/>
        <v>436.4115628122944</v>
      </c>
      <c r="AB24" s="125">
        <f t="shared" si="11"/>
        <v>585.6314793033634</v>
      </c>
      <c r="AC24" s="125">
        <f t="shared" si="11"/>
        <v>585.6314793033634</v>
      </c>
      <c r="AD24" s="125">
        <f t="shared" si="11"/>
        <v>1679.9489468204392</v>
      </c>
      <c r="AE24" s="125">
        <f t="shared" si="11"/>
        <v>3162.6728801308905</v>
      </c>
      <c r="AF24" s="125">
        <f t="shared" si="11"/>
        <v>4805.850459049414</v>
      </c>
      <c r="AG24" s="125">
        <f t="shared" si="11"/>
        <v>6600.1339757373935</v>
      </c>
      <c r="AH24" s="125">
        <f t="shared" si="11"/>
        <v>8542.296727083301</v>
      </c>
      <c r="AI24" s="125">
        <f>SUM(AI25:AI26)</f>
        <v>10628.950674820035</v>
      </c>
      <c r="AJ24" s="125">
        <f>SUM(AJ25:AJ26)</f>
        <v>12424.538378767134</v>
      </c>
    </row>
    <row r="25" spans="1:36" ht="15" customHeight="1">
      <c r="A25" s="129" t="s">
        <v>121</v>
      </c>
      <c r="B25" s="125"/>
      <c r="C25" s="131"/>
      <c r="D25" s="131">
        <f>C25+'1-Ф3'!D29</f>
        <v>0</v>
      </c>
      <c r="E25" s="131">
        <f>D25+'1-Ф3'!E29</f>
        <v>0</v>
      </c>
      <c r="F25" s="131">
        <f>E25+'1-Ф3'!F29</f>
        <v>0</v>
      </c>
      <c r="G25" s="131">
        <f>F25+'1-Ф3'!G29</f>
        <v>0</v>
      </c>
      <c r="H25" s="131">
        <f>G25+'1-Ф3'!H29</f>
        <v>0</v>
      </c>
      <c r="I25" s="131">
        <f>H25+'1-Ф3'!I29</f>
        <v>0</v>
      </c>
      <c r="J25" s="131">
        <f>I25+'1-Ф3'!J29</f>
        <v>0</v>
      </c>
      <c r="K25" s="131">
        <f>J25+'1-Ф3'!K29</f>
        <v>0</v>
      </c>
      <c r="L25" s="131">
        <f>K25+'1-Ф3'!L29</f>
        <v>0</v>
      </c>
      <c r="M25" s="131">
        <f>L25+'1-Ф3'!M29</f>
        <v>105.75</v>
      </c>
      <c r="N25" s="131">
        <f>M25+'1-Ф3'!N29</f>
        <v>105.75</v>
      </c>
      <c r="O25" s="131">
        <f>N25+'1-Ф3'!O29</f>
        <v>105.75</v>
      </c>
      <c r="P25" s="131">
        <f>O25</f>
        <v>105.75</v>
      </c>
      <c r="Q25" s="131">
        <f>P25+'1-Ф3'!Q29</f>
        <v>105.75</v>
      </c>
      <c r="R25" s="131">
        <f>Q25+'1-Ф3'!R29</f>
        <v>105.75</v>
      </c>
      <c r="S25" s="131">
        <f>R25+'1-Ф3'!S29</f>
        <v>105.75</v>
      </c>
      <c r="T25" s="131">
        <f>S25+'1-Ф3'!T29</f>
        <v>105.75</v>
      </c>
      <c r="U25" s="131">
        <f>T25+'1-Ф3'!U29</f>
        <v>105.75</v>
      </c>
      <c r="V25" s="131">
        <f>U25+'1-Ф3'!V29</f>
        <v>105.75</v>
      </c>
      <c r="W25" s="131">
        <f>V25+'1-Ф3'!W29</f>
        <v>105.75</v>
      </c>
      <c r="X25" s="131">
        <f>W25+'1-Ф3'!X29</f>
        <v>105.75</v>
      </c>
      <c r="Y25" s="131">
        <f>X25+'1-Ф3'!Y29</f>
        <v>105.75</v>
      </c>
      <c r="Z25" s="131">
        <f>Y25+'1-Ф3'!Z29</f>
        <v>105.75</v>
      </c>
      <c r="AA25" s="131">
        <f>Z25+'1-Ф3'!AA29</f>
        <v>105.75</v>
      </c>
      <c r="AB25" s="131">
        <f>AA25+'1-Ф3'!AB29</f>
        <v>105.75</v>
      </c>
      <c r="AC25" s="131">
        <f>AB25</f>
        <v>105.75</v>
      </c>
      <c r="AD25" s="131">
        <f>AC25+'1-Ф3'!AD29</f>
        <v>105.75</v>
      </c>
      <c r="AE25" s="131">
        <f>AD25+'1-Ф3'!AE29</f>
        <v>105.75</v>
      </c>
      <c r="AF25" s="131">
        <f>AE25+'1-Ф3'!AF29</f>
        <v>105.75</v>
      </c>
      <c r="AG25" s="131">
        <f>AF25+'1-Ф3'!AG29</f>
        <v>105.75</v>
      </c>
      <c r="AH25" s="131">
        <f>AG25+'1-Ф3'!AH29</f>
        <v>105.75</v>
      </c>
      <c r="AI25" s="131">
        <f>AH25+'1-Ф3'!AI29</f>
        <v>105.75</v>
      </c>
      <c r="AJ25" s="131">
        <f>AI25+'1-Ф3'!AJ29</f>
        <v>105.75</v>
      </c>
    </row>
    <row r="26" spans="1:36" ht="15" customHeight="1">
      <c r="A26" s="129" t="s">
        <v>122</v>
      </c>
      <c r="B26" s="125"/>
      <c r="C26" s="131"/>
      <c r="D26" s="131">
        <f>'2-ф2'!D19</f>
        <v>0</v>
      </c>
      <c r="E26" s="131">
        <f>'2-ф2'!E19</f>
        <v>0</v>
      </c>
      <c r="F26" s="131">
        <f>'2-ф2'!F19</f>
        <v>0</v>
      </c>
      <c r="G26" s="131">
        <f>'2-ф2'!G19</f>
        <v>0</v>
      </c>
      <c r="H26" s="131">
        <f>'2-ф2'!H19</f>
        <v>0</v>
      </c>
      <c r="I26" s="131">
        <f>'2-ф2'!I19</f>
        <v>0</v>
      </c>
      <c r="J26" s="131">
        <f>'2-ф2'!J19</f>
        <v>0</v>
      </c>
      <c r="K26" s="131">
        <f>'2-ф2'!K19</f>
        <v>0</v>
      </c>
      <c r="L26" s="131">
        <f>'2-ф2'!L19</f>
        <v>0</v>
      </c>
      <c r="M26" s="131">
        <f>'2-ф2'!M19</f>
        <v>0</v>
      </c>
      <c r="N26" s="131">
        <f>'2-ф2'!N19</f>
        <v>3.1654117941176523</v>
      </c>
      <c r="O26" s="131">
        <f>'2-ф2'!O19</f>
        <v>24.30082358823531</v>
      </c>
      <c r="P26" s="131">
        <f>'2-ф2'!P19</f>
        <v>24.30082358823531</v>
      </c>
      <c r="Q26" s="131">
        <f>'2-ф2'!Q19</f>
        <v>58.801375457352975</v>
      </c>
      <c r="R26" s="131">
        <f>'2-ф2'!R19</f>
        <v>111.27192732647063</v>
      </c>
      <c r="S26" s="131">
        <f>'2-ф2'!S19</f>
        <v>181.80884626772956</v>
      </c>
      <c r="T26" s="131">
        <f>'2-ф2'!T19</f>
        <v>270.41269442238394</v>
      </c>
      <c r="U26" s="131">
        <f>'2-ф2'!U19</f>
        <v>359.11403721084525</v>
      </c>
      <c r="V26" s="131">
        <f>'2-ф2'!V19</f>
        <v>256.3934433518107</v>
      </c>
      <c r="W26" s="131">
        <f>'2-ф2'!W19</f>
        <v>153.77148488150317</v>
      </c>
      <c r="X26" s="131">
        <f>'2-ф2'!X19</f>
        <v>51.24873717302361</v>
      </c>
      <c r="Y26" s="131">
        <f>'2-ф2'!Y19</f>
        <v>140.34577895581603</v>
      </c>
      <c r="Z26" s="131">
        <f>'2-ф2'!Z19</f>
        <v>217.48319233524617</v>
      </c>
      <c r="AA26" s="131">
        <f>'2-ф2'!AA19</f>
        <v>330.6615628122944</v>
      </c>
      <c r="AB26" s="131">
        <f>'2-ф2'!AB19</f>
        <v>479.8814793033635</v>
      </c>
      <c r="AC26" s="131">
        <f>'2-ф2'!AC19</f>
        <v>479.8814793033635</v>
      </c>
      <c r="AD26" s="131">
        <f>'2-ф2'!AD19</f>
        <v>1574.1989468204392</v>
      </c>
      <c r="AE26" s="131">
        <f>'2-ф2'!AE19</f>
        <v>3056.9228801308905</v>
      </c>
      <c r="AF26" s="131">
        <f>'2-ф2'!AF19</f>
        <v>4700.100459049414</v>
      </c>
      <c r="AG26" s="131">
        <f>'2-ф2'!AG19</f>
        <v>6494.3839757373935</v>
      </c>
      <c r="AH26" s="131">
        <f>'2-ф2'!AH19</f>
        <v>8436.546727083301</v>
      </c>
      <c r="AI26" s="131">
        <f>'2-ф2'!AI19</f>
        <v>10523.200674820035</v>
      </c>
      <c r="AJ26" s="131">
        <f>'2-ф2'!AJ19</f>
        <v>12318.788378767134</v>
      </c>
    </row>
    <row r="28" spans="1:36" ht="12.75">
      <c r="A28" s="134" t="s">
        <v>123</v>
      </c>
      <c r="B28" s="135"/>
      <c r="C28" s="136">
        <f aca="true" t="shared" si="12" ref="C28:AH28">C5-C16</f>
        <v>0</v>
      </c>
      <c r="D28" s="249">
        <f t="shared" si="12"/>
        <v>0</v>
      </c>
      <c r="E28" s="249">
        <f t="shared" si="12"/>
        <v>0</v>
      </c>
      <c r="F28" s="249">
        <f t="shared" si="12"/>
        <v>0</v>
      </c>
      <c r="G28" s="249">
        <f t="shared" si="12"/>
        <v>0</v>
      </c>
      <c r="H28" s="249">
        <f t="shared" si="12"/>
        <v>0</v>
      </c>
      <c r="I28" s="249">
        <f t="shared" si="12"/>
        <v>0</v>
      </c>
      <c r="J28" s="249">
        <f t="shared" si="12"/>
        <v>0</v>
      </c>
      <c r="K28" s="249">
        <f t="shared" si="12"/>
        <v>0</v>
      </c>
      <c r="L28" s="249">
        <f t="shared" si="12"/>
        <v>0</v>
      </c>
      <c r="M28" s="249">
        <f t="shared" si="12"/>
        <v>0</v>
      </c>
      <c r="N28" s="249">
        <f t="shared" si="12"/>
        <v>0</v>
      </c>
      <c r="O28" s="249">
        <f t="shared" si="12"/>
        <v>0</v>
      </c>
      <c r="P28" s="249">
        <f>P5-P16</f>
        <v>0</v>
      </c>
      <c r="Q28" s="249">
        <f t="shared" si="12"/>
        <v>0</v>
      </c>
      <c r="R28" s="249">
        <f t="shared" si="12"/>
        <v>0</v>
      </c>
      <c r="S28" s="249">
        <f t="shared" si="12"/>
        <v>0</v>
      </c>
      <c r="T28" s="249">
        <f t="shared" si="12"/>
        <v>0</v>
      </c>
      <c r="U28" s="249">
        <f t="shared" si="12"/>
        <v>0</v>
      </c>
      <c r="V28" s="249">
        <f t="shared" si="12"/>
        <v>0</v>
      </c>
      <c r="W28" s="249">
        <f t="shared" si="12"/>
        <v>0</v>
      </c>
      <c r="X28" s="249">
        <f t="shared" si="12"/>
        <v>0</v>
      </c>
      <c r="Y28" s="249">
        <f t="shared" si="12"/>
        <v>0</v>
      </c>
      <c r="Z28" s="249">
        <f t="shared" si="12"/>
        <v>0</v>
      </c>
      <c r="AA28" s="249">
        <f t="shared" si="12"/>
        <v>0</v>
      </c>
      <c r="AB28" s="249">
        <f t="shared" si="12"/>
        <v>0</v>
      </c>
      <c r="AC28" s="249">
        <f t="shared" si="12"/>
        <v>0</v>
      </c>
      <c r="AD28" s="249">
        <f t="shared" si="12"/>
        <v>0</v>
      </c>
      <c r="AE28" s="249">
        <f t="shared" si="12"/>
        <v>0</v>
      </c>
      <c r="AF28" s="249">
        <f t="shared" si="12"/>
        <v>0</v>
      </c>
      <c r="AG28" s="249">
        <f t="shared" si="12"/>
        <v>0</v>
      </c>
      <c r="AH28" s="249">
        <f t="shared" si="12"/>
        <v>0</v>
      </c>
      <c r="AI28" s="249">
        <f>AI5-AI16</f>
        <v>0</v>
      </c>
      <c r="AJ28" s="249">
        <f>AJ5-AJ16</f>
        <v>0</v>
      </c>
    </row>
    <row r="29" spans="4:36" ht="12.75" hidden="1"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</row>
    <row r="30" spans="1:36" ht="12.75" hidden="1">
      <c r="A30" s="117" t="s">
        <v>122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>
        <f>P26</f>
        <v>24.30082358823531</v>
      </c>
      <c r="Q30" s="259">
        <f>'[45]ф2'!Q32</f>
        <v>109.48954266069855</v>
      </c>
      <c r="R30" s="259">
        <f>'[45]ф2'!R32</f>
        <v>109.48954266069855</v>
      </c>
      <c r="S30" s="259">
        <f>'[45]ф2'!S32</f>
        <v>108.45296951069854</v>
      </c>
      <c r="T30" s="259">
        <f>'[45]ф2'!T32</f>
        <v>106.37982321069852</v>
      </c>
      <c r="U30" s="259">
        <f>'[45]ф2'!U32</f>
        <v>103.27010376069849</v>
      </c>
      <c r="V30" s="259">
        <f>'[45]ф2'!V32</f>
        <v>103.27010376069849</v>
      </c>
      <c r="W30" s="259">
        <f>'[45]ф2'!W32</f>
        <v>103.27010376069849</v>
      </c>
      <c r="X30" s="259">
        <f>'[45]ф2'!X32</f>
        <v>99.20125340855881</v>
      </c>
      <c r="Y30" s="259">
        <f>'[45]ф2'!Y32</f>
        <v>99.20125340855881</v>
      </c>
      <c r="Z30" s="259">
        <f>'[45]ф2'!Z32</f>
        <v>99.20125340855881</v>
      </c>
      <c r="AA30" s="259">
        <f>'[45]ф2'!AA32</f>
        <v>99.20125340855881</v>
      </c>
      <c r="AB30" s="259">
        <f>'[45]ф2'!AB32</f>
        <v>82.61608300855879</v>
      </c>
      <c r="AC30" s="259">
        <f>AC26-P26</f>
        <v>455.5806557151282</v>
      </c>
      <c r="AD30" s="259">
        <f>AD26-AC26</f>
        <v>1094.3174675170758</v>
      </c>
      <c r="AE30" s="259">
        <f>AE26-AD26</f>
        <v>1482.7239333104512</v>
      </c>
      <c r="AF30" s="259">
        <f>AF26-AE26</f>
        <v>1643.1775789185235</v>
      </c>
      <c r="AG30" s="259">
        <f>AG26-AF26</f>
        <v>1794.2835166879795</v>
      </c>
      <c r="AH30" s="259">
        <f>AH26-AG26</f>
        <v>1942.162751345908</v>
      </c>
      <c r="AI30" s="259"/>
      <c r="AJ30" s="259"/>
    </row>
    <row r="31" spans="1:36" ht="12.75" hidden="1">
      <c r="A31" s="117" t="s">
        <v>124</v>
      </c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>
        <f>(P8+P10+P13+P14)-(C8+C10+C13+C14)</f>
        <v>0</v>
      </c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>
        <f>(AC8+AC10+AC13+AC14)-(P8+P10+P13+P14)</f>
        <v>0</v>
      </c>
      <c r="AD31" s="259">
        <f>(AD8+AD10+AD13+AD14)-(AC8+AC10+AC13+AC14)</f>
        <v>0</v>
      </c>
      <c r="AE31" s="259">
        <f>(AE8+AE10+AE13+AE14)-(AD8+AD10+AD13+AD14)</f>
        <v>0</v>
      </c>
      <c r="AF31" s="259">
        <f>(AF8+AF10+AF13+AF14)-(AE8+AE10+AE13+AE14)</f>
        <v>0</v>
      </c>
      <c r="AG31" s="259">
        <f>(AG8+AG10+AG13+AG14)-(AF8+AF10+AF13+AF14)</f>
        <v>0</v>
      </c>
      <c r="AH31" s="259">
        <f>(AH8+AH10+AH13+AH14)-(AG8+AG10+AG13+AG14)</f>
        <v>0</v>
      </c>
      <c r="AI31" s="259"/>
      <c r="AJ31" s="259"/>
    </row>
    <row r="32" spans="1:36" ht="12.75" hidden="1">
      <c r="A32" s="117" t="s">
        <v>125</v>
      </c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>
        <f>P9-C9</f>
        <v>0</v>
      </c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>
        <f>AC9-P9</f>
        <v>0</v>
      </c>
      <c r="AD32" s="259">
        <f>AD9-AC9</f>
        <v>0</v>
      </c>
      <c r="AE32" s="259">
        <f>AE9-AD9</f>
        <v>0</v>
      </c>
      <c r="AF32" s="259">
        <f>AF9-AE9</f>
        <v>0</v>
      </c>
      <c r="AG32" s="259">
        <f>AG9-AF9</f>
        <v>0</v>
      </c>
      <c r="AH32" s="259">
        <f>AH9-AG9</f>
        <v>0</v>
      </c>
      <c r="AI32" s="259"/>
      <c r="AJ32" s="259"/>
    </row>
    <row r="33" spans="1:36" ht="12.75" hidden="1">
      <c r="A33" s="117" t="s">
        <v>126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>
        <f>(P21+P17)-(C21+C17)</f>
        <v>599.25</v>
      </c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>
        <f>(AC21+AC17)-(P21+P17)</f>
        <v>-187.1147978949923</v>
      </c>
      <c r="AD33" s="259">
        <f>(AD21+AD17)-(AC21+AC17)</f>
        <v>-218.25291426187442</v>
      </c>
      <c r="AE33" s="259">
        <f>(AE21+AE17)-(AD21+AD17)</f>
        <v>-193.8822878431315</v>
      </c>
      <c r="AF33" s="259">
        <f>(AF21+AF17)-(AE21+AE17)</f>
        <v>0</v>
      </c>
      <c r="AG33" s="259">
        <f>(AG21+AG17)-(AF21+AF17)</f>
        <v>0</v>
      </c>
      <c r="AH33" s="259">
        <f>(AH21+AH17)-(AG21+AG17)</f>
        <v>0</v>
      </c>
      <c r="AI33" s="259"/>
      <c r="AJ33" s="259"/>
    </row>
    <row r="34" spans="1:36" ht="12.75" hidden="1">
      <c r="A34" s="117" t="s">
        <v>127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>
        <f>-P31+P32+P33</f>
        <v>599.25</v>
      </c>
      <c r="Q34" s="259">
        <f aca="true" t="shared" si="13" ref="Q34:AB34">Q31+Q32+Q33</f>
        <v>0</v>
      </c>
      <c r="R34" s="259">
        <f t="shared" si="13"/>
        <v>0</v>
      </c>
      <c r="S34" s="259">
        <f t="shared" si="13"/>
        <v>0</v>
      </c>
      <c r="T34" s="259">
        <f t="shared" si="13"/>
        <v>0</v>
      </c>
      <c r="U34" s="259">
        <f t="shared" si="13"/>
        <v>0</v>
      </c>
      <c r="V34" s="259">
        <f t="shared" si="13"/>
        <v>0</v>
      </c>
      <c r="W34" s="259">
        <f t="shared" si="13"/>
        <v>0</v>
      </c>
      <c r="X34" s="259">
        <f t="shared" si="13"/>
        <v>0</v>
      </c>
      <c r="Y34" s="259">
        <f t="shared" si="13"/>
        <v>0</v>
      </c>
      <c r="Z34" s="259">
        <f t="shared" si="13"/>
        <v>0</v>
      </c>
      <c r="AA34" s="259">
        <f t="shared" si="13"/>
        <v>0</v>
      </c>
      <c r="AB34" s="259">
        <f t="shared" si="13"/>
        <v>0</v>
      </c>
      <c r="AC34" s="259">
        <f aca="true" t="shared" si="14" ref="AC34:AH34">-AC31+AC32+AC33</f>
        <v>-187.1147978949923</v>
      </c>
      <c r="AD34" s="259">
        <f t="shared" si="14"/>
        <v>-218.25291426187442</v>
      </c>
      <c r="AE34" s="259">
        <f t="shared" si="14"/>
        <v>-193.8822878431315</v>
      </c>
      <c r="AF34" s="259">
        <f t="shared" si="14"/>
        <v>0</v>
      </c>
      <c r="AG34" s="259">
        <f t="shared" si="14"/>
        <v>0</v>
      </c>
      <c r="AH34" s="259">
        <f t="shared" si="14"/>
        <v>0</v>
      </c>
      <c r="AI34" s="259"/>
      <c r="AJ34" s="259"/>
    </row>
    <row r="35" spans="1:36" ht="12.75" hidden="1">
      <c r="A35" s="117" t="s">
        <v>69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>
        <f>'2-ф2'!P14</f>
        <v>13.823529411764705</v>
      </c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>
        <f>'2-ф2'!AC14</f>
        <v>82.94117647058823</v>
      </c>
      <c r="AD35" s="259">
        <f>'2-ф2'!AD14</f>
        <v>82.94117647058823</v>
      </c>
      <c r="AE35" s="259">
        <f>'2-ф2'!AE14</f>
        <v>82.94117647058823</v>
      </c>
      <c r="AF35" s="259">
        <f>'2-ф2'!AF14</f>
        <v>82.94117647058823</v>
      </c>
      <c r="AG35" s="259">
        <f>'2-ф2'!AG14</f>
        <v>82.94117647058823</v>
      </c>
      <c r="AH35" s="259">
        <f>'2-ф2'!AH14</f>
        <v>82.94117647058823</v>
      </c>
      <c r="AI35" s="259"/>
      <c r="AJ35" s="259"/>
    </row>
    <row r="36" spans="1:36" ht="12.75" hidden="1">
      <c r="A36" s="117" t="s">
        <v>128</v>
      </c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>
        <f>-'1-Ф3'!P22</f>
        <v>-705</v>
      </c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>
        <f>-'1-Ф3'!AC22</f>
        <v>0</v>
      </c>
      <c r="AD36" s="259">
        <f>-'1-Ф3'!AD22</f>
        <v>0</v>
      </c>
      <c r="AE36" s="259">
        <f>-'1-Ф3'!AE22</f>
        <v>0</v>
      </c>
      <c r="AF36" s="259">
        <f>-'1-Ф3'!AF22</f>
        <v>0</v>
      </c>
      <c r="AG36" s="259">
        <f>-'1-Ф3'!AG22</f>
        <v>0</v>
      </c>
      <c r="AH36" s="259">
        <f>-'1-Ф3'!AH22</f>
        <v>0</v>
      </c>
      <c r="AI36" s="259"/>
      <c r="AJ36" s="259"/>
    </row>
    <row r="37" spans="1:36" ht="12.75" hidden="1">
      <c r="A37" s="117" t="s">
        <v>129</v>
      </c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>
        <f>P30+P34+P35+P36+P25</f>
        <v>38.12435300000004</v>
      </c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>
        <f aca="true" t="shared" si="15" ref="AC37:AH37">AC30+AC34+AC35+AC36</f>
        <v>351.40703429072414</v>
      </c>
      <c r="AD37" s="259">
        <f t="shared" si="15"/>
        <v>959.0057297257897</v>
      </c>
      <c r="AE37" s="259">
        <f t="shared" si="15"/>
        <v>1371.782821937908</v>
      </c>
      <c r="AF37" s="259">
        <f t="shared" si="15"/>
        <v>1726.1187553891118</v>
      </c>
      <c r="AG37" s="259">
        <f t="shared" si="15"/>
        <v>1877.2246931585678</v>
      </c>
      <c r="AH37" s="259">
        <f t="shared" si="15"/>
        <v>2025.1039278164963</v>
      </c>
      <c r="AI37" s="259"/>
      <c r="AJ37" s="259"/>
    </row>
    <row r="38" spans="4:36" ht="12.75" hidden="1"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</row>
    <row r="39" spans="1:36" ht="12.75" hidden="1">
      <c r="A39" s="117" t="s">
        <v>135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>
        <f>'1-Ф3'!P35</f>
        <v>38.12435300000004</v>
      </c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>
        <f>'1-Ф3'!AC35</f>
        <v>351.40703429072414</v>
      </c>
      <c r="AD39" s="259">
        <f>'1-Ф3'!AD35</f>
        <v>959.00572972579</v>
      </c>
      <c r="AE39" s="259">
        <f>'1-Ф3'!AE35</f>
        <v>1371.782821937908</v>
      </c>
      <c r="AF39" s="259">
        <f>'1-Ф3'!AF35</f>
        <v>1726.1187553891123</v>
      </c>
      <c r="AG39" s="259">
        <f>'1-Ф3'!AG35</f>
        <v>1877.2246931585678</v>
      </c>
      <c r="AH39" s="259">
        <f>'1-Ф3'!AH35</f>
        <v>2025.1039278164967</v>
      </c>
      <c r="AI39" s="259"/>
      <c r="AJ39" s="259"/>
    </row>
    <row r="40" spans="1:36" ht="12.75" hidden="1">
      <c r="A40" s="134" t="s">
        <v>123</v>
      </c>
      <c r="B40" s="135"/>
      <c r="C40" s="136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>
        <f>P39-P37</f>
        <v>0</v>
      </c>
      <c r="Q40" s="249">
        <f aca="true" t="shared" si="16" ref="Q40:AB40">Q39-Q37</f>
        <v>0</v>
      </c>
      <c r="R40" s="249">
        <f t="shared" si="16"/>
        <v>0</v>
      </c>
      <c r="S40" s="249">
        <f t="shared" si="16"/>
        <v>0</v>
      </c>
      <c r="T40" s="249">
        <f t="shared" si="16"/>
        <v>0</v>
      </c>
      <c r="U40" s="249">
        <f t="shared" si="16"/>
        <v>0</v>
      </c>
      <c r="V40" s="249">
        <f t="shared" si="16"/>
        <v>0</v>
      </c>
      <c r="W40" s="249">
        <f t="shared" si="16"/>
        <v>0</v>
      </c>
      <c r="X40" s="249">
        <f t="shared" si="16"/>
        <v>0</v>
      </c>
      <c r="Y40" s="249">
        <f t="shared" si="16"/>
        <v>0</v>
      </c>
      <c r="Z40" s="249">
        <f t="shared" si="16"/>
        <v>0</v>
      </c>
      <c r="AA40" s="249">
        <f t="shared" si="16"/>
        <v>0</v>
      </c>
      <c r="AB40" s="249">
        <f t="shared" si="16"/>
        <v>0</v>
      </c>
      <c r="AC40" s="249">
        <f aca="true" t="shared" si="17" ref="AC40:AH40">AC39-AC37</f>
        <v>0</v>
      </c>
      <c r="AD40" s="249">
        <f t="shared" si="17"/>
        <v>0</v>
      </c>
      <c r="AE40" s="249">
        <f t="shared" si="17"/>
        <v>0</v>
      </c>
      <c r="AF40" s="249">
        <f t="shared" si="17"/>
        <v>0</v>
      </c>
      <c r="AG40" s="249">
        <f t="shared" si="17"/>
        <v>0</v>
      </c>
      <c r="AH40" s="249">
        <f t="shared" si="17"/>
        <v>0</v>
      </c>
      <c r="AI40" s="259"/>
      <c r="AJ40" s="259"/>
    </row>
    <row r="41" spans="4:36" ht="12.75">
      <c r="D41" s="259"/>
      <c r="E41" s="259"/>
      <c r="F41" s="259">
        <f aca="true" t="shared" si="18" ref="F41:AJ41">F28-E28</f>
        <v>0</v>
      </c>
      <c r="G41" s="259">
        <f t="shared" si="18"/>
        <v>0</v>
      </c>
      <c r="H41" s="259">
        <f t="shared" si="18"/>
        <v>0</v>
      </c>
      <c r="I41" s="259">
        <f t="shared" si="18"/>
        <v>0</v>
      </c>
      <c r="J41" s="259">
        <f t="shared" si="18"/>
        <v>0</v>
      </c>
      <c r="K41" s="259">
        <f t="shared" si="18"/>
        <v>0</v>
      </c>
      <c r="L41" s="259">
        <f t="shared" si="18"/>
        <v>0</v>
      </c>
      <c r="M41" s="259">
        <f t="shared" si="18"/>
        <v>0</v>
      </c>
      <c r="N41" s="259">
        <f t="shared" si="18"/>
        <v>0</v>
      </c>
      <c r="O41" s="259">
        <f t="shared" si="18"/>
        <v>0</v>
      </c>
      <c r="P41" s="259">
        <f t="shared" si="18"/>
        <v>0</v>
      </c>
      <c r="Q41" s="259">
        <f t="shared" si="18"/>
        <v>0</v>
      </c>
      <c r="R41" s="259">
        <f t="shared" si="18"/>
        <v>0</v>
      </c>
      <c r="S41" s="259">
        <f t="shared" si="18"/>
        <v>0</v>
      </c>
      <c r="T41" s="259">
        <f t="shared" si="18"/>
        <v>0</v>
      </c>
      <c r="U41" s="259">
        <f t="shared" si="18"/>
        <v>0</v>
      </c>
      <c r="V41" s="259">
        <f t="shared" si="18"/>
        <v>0</v>
      </c>
      <c r="W41" s="259">
        <f t="shared" si="18"/>
        <v>0</v>
      </c>
      <c r="X41" s="259">
        <f t="shared" si="18"/>
        <v>0</v>
      </c>
      <c r="Y41" s="259">
        <f t="shared" si="18"/>
        <v>0</v>
      </c>
      <c r="Z41" s="259">
        <f t="shared" si="18"/>
        <v>0</v>
      </c>
      <c r="AA41" s="259">
        <f t="shared" si="18"/>
        <v>0</v>
      </c>
      <c r="AB41" s="259">
        <f t="shared" si="18"/>
        <v>0</v>
      </c>
      <c r="AC41" s="259">
        <f t="shared" si="18"/>
        <v>0</v>
      </c>
      <c r="AD41" s="259">
        <f t="shared" si="18"/>
        <v>0</v>
      </c>
      <c r="AE41" s="259">
        <f t="shared" si="18"/>
        <v>0</v>
      </c>
      <c r="AF41" s="259">
        <f t="shared" si="18"/>
        <v>0</v>
      </c>
      <c r="AG41" s="259">
        <f t="shared" si="18"/>
        <v>0</v>
      </c>
      <c r="AH41" s="259">
        <f t="shared" si="18"/>
        <v>0</v>
      </c>
      <c r="AI41" s="259">
        <f t="shared" si="18"/>
        <v>0</v>
      </c>
      <c r="AJ41" s="259">
        <f t="shared" si="18"/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45"/>
  <sheetViews>
    <sheetView showGridLines="0" zoomScalePageLayoutView="0" workbookViewId="0" topLeftCell="A1">
      <pane ySplit="3" topLeftCell="A26" activePane="bottomLeft" state="frozen"/>
      <selection pane="topLeft" activeCell="A34" sqref="A34"/>
      <selection pane="bottomLeft" activeCell="A46" sqref="A46"/>
    </sheetView>
  </sheetViews>
  <sheetFormatPr defaultColWidth="9.00390625" defaultRowHeight="12.75"/>
  <cols>
    <col min="1" max="1" width="35.00390625" style="76" customWidth="1"/>
    <col min="2" max="2" width="18.75390625" style="76" customWidth="1"/>
    <col min="3" max="3" width="17.00390625" style="76" customWidth="1"/>
    <col min="4" max="4" width="68.625" style="76" customWidth="1"/>
    <col min="5" max="6" width="9.125" style="76" customWidth="1"/>
    <col min="7" max="7" width="3.75390625" style="76" customWidth="1"/>
    <col min="8" max="8" width="14.00390625" style="76" customWidth="1"/>
    <col min="9" max="9" width="14.875" style="76" customWidth="1"/>
    <col min="10" max="10" width="15.75390625" style="76" customWidth="1"/>
    <col min="11" max="12" width="9.125" style="76" customWidth="1"/>
    <col min="13" max="13" width="14.375" style="76" customWidth="1"/>
    <col min="14" max="16384" width="9.125" style="76" customWidth="1"/>
  </cols>
  <sheetData>
    <row r="1" spans="1:3" ht="12.75">
      <c r="A1" s="329" t="s">
        <v>34</v>
      </c>
      <c r="B1" s="329"/>
      <c r="C1" s="329"/>
    </row>
    <row r="2" ht="4.5" customHeight="1">
      <c r="A2" s="60"/>
    </row>
    <row r="3" spans="1:3" ht="12.75">
      <c r="A3" s="77" t="s">
        <v>24</v>
      </c>
      <c r="B3" s="78" t="s">
        <v>35</v>
      </c>
      <c r="C3" s="78" t="s">
        <v>6</v>
      </c>
    </row>
    <row r="4" ht="12.75">
      <c r="A4" s="60" t="s">
        <v>137</v>
      </c>
    </row>
    <row r="5" spans="1:3" ht="12.75">
      <c r="A5" s="79" t="s">
        <v>94</v>
      </c>
      <c r="B5" s="79"/>
      <c r="C5" s="227">
        <v>151.95</v>
      </c>
    </row>
    <row r="6" spans="1:3" ht="12.75">
      <c r="A6" s="79" t="s">
        <v>147</v>
      </c>
      <c r="B6" s="79"/>
      <c r="C6" s="227">
        <v>4.57</v>
      </c>
    </row>
    <row r="7" spans="1:4" ht="12.75">
      <c r="A7" s="79" t="s">
        <v>65</v>
      </c>
      <c r="B7" s="79"/>
      <c r="C7" s="154">
        <f>15%*C9+C42*(1-C22)*(1-C9)</f>
        <v>0.08021500000000001</v>
      </c>
      <c r="D7" s="76" t="s">
        <v>261</v>
      </c>
    </row>
    <row r="8" spans="1:4" ht="12.75">
      <c r="A8" s="150" t="s">
        <v>186</v>
      </c>
      <c r="B8" s="79"/>
      <c r="C8" s="154"/>
      <c r="D8" s="246"/>
    </row>
    <row r="9" spans="1:3" ht="12.75">
      <c r="A9" s="79" t="s">
        <v>198</v>
      </c>
      <c r="B9" s="79"/>
      <c r="C9" s="154">
        <f>'1-Ф3'!B29/'1-Ф3'!B28</f>
        <v>0.15</v>
      </c>
    </row>
    <row r="10" spans="1:3" ht="12.75">
      <c r="A10" s="79" t="s">
        <v>96</v>
      </c>
      <c r="B10" s="79"/>
      <c r="C10" s="154">
        <f>'1-Ф3'!B30/'1-Ф3'!B28</f>
        <v>0.85</v>
      </c>
    </row>
    <row r="11" spans="1:3" ht="12.75">
      <c r="A11" s="79" t="s">
        <v>130</v>
      </c>
      <c r="B11" s="79"/>
      <c r="C11" s="83" t="s">
        <v>51</v>
      </c>
    </row>
    <row r="12" ht="12.75">
      <c r="A12" s="60" t="s">
        <v>131</v>
      </c>
    </row>
    <row r="13" spans="1:4" ht="12.75">
      <c r="A13" s="79" t="s">
        <v>41</v>
      </c>
      <c r="B13" s="81" t="s">
        <v>37</v>
      </c>
      <c r="C13" s="82">
        <v>0.1</v>
      </c>
      <c r="D13" s="76" t="s">
        <v>213</v>
      </c>
    </row>
    <row r="14" spans="1:4" ht="12.75">
      <c r="A14" s="79" t="s">
        <v>46</v>
      </c>
      <c r="B14" s="81" t="s">
        <v>37</v>
      </c>
      <c r="C14" s="82">
        <v>0.05</v>
      </c>
      <c r="D14" s="76" t="s">
        <v>213</v>
      </c>
    </row>
    <row r="15" spans="1:3" ht="12.75">
      <c r="A15" s="79" t="s">
        <v>42</v>
      </c>
      <c r="B15" s="81" t="s">
        <v>37</v>
      </c>
      <c r="C15" s="82">
        <v>0.1</v>
      </c>
    </row>
    <row r="16" spans="1:3" ht="12.75" hidden="1">
      <c r="A16" s="79" t="s">
        <v>44</v>
      </c>
      <c r="B16" s="81" t="s">
        <v>37</v>
      </c>
      <c r="C16" s="82">
        <f>6%*0</f>
        <v>0</v>
      </c>
    </row>
    <row r="17" spans="1:3" ht="12.75">
      <c r="A17" s="79" t="s">
        <v>104</v>
      </c>
      <c r="B17" s="81" t="s">
        <v>51</v>
      </c>
      <c r="C17" s="84">
        <v>18.66</v>
      </c>
    </row>
    <row r="18" spans="1:3" ht="12.75" hidden="1">
      <c r="A18" s="79" t="s">
        <v>1</v>
      </c>
      <c r="B18" s="81"/>
      <c r="C18" s="236">
        <f>1.5%</f>
        <v>0.015</v>
      </c>
    </row>
    <row r="19" spans="1:4" s="293" customFormat="1" ht="25.5">
      <c r="A19" s="113" t="s">
        <v>36</v>
      </c>
      <c r="B19" s="242" t="s">
        <v>37</v>
      </c>
      <c r="C19" s="291">
        <v>0</v>
      </c>
      <c r="D19" s="292" t="s">
        <v>256</v>
      </c>
    </row>
    <row r="20" spans="1:3" ht="12.75">
      <c r="A20" s="79" t="s">
        <v>52</v>
      </c>
      <c r="B20" s="79"/>
      <c r="C20" s="80">
        <v>1</v>
      </c>
    </row>
    <row r="21" spans="1:3" ht="12.75" hidden="1">
      <c r="A21" s="79" t="s">
        <v>201</v>
      </c>
      <c r="B21" s="81" t="s">
        <v>37</v>
      </c>
      <c r="C21" s="82">
        <v>0.03</v>
      </c>
    </row>
    <row r="22" spans="1:4" ht="12.75">
      <c r="A22" s="79" t="s">
        <v>265</v>
      </c>
      <c r="B22" s="79"/>
      <c r="C22" s="82">
        <v>0.03</v>
      </c>
      <c r="D22" s="76" t="s">
        <v>264</v>
      </c>
    </row>
    <row r="23" ht="12.75">
      <c r="A23" s="60" t="s">
        <v>255</v>
      </c>
    </row>
    <row r="24" spans="1:4" ht="12.75" customHeight="1">
      <c r="A24" s="307" t="s">
        <v>266</v>
      </c>
      <c r="B24" s="242" t="s">
        <v>230</v>
      </c>
      <c r="C24" s="296">
        <f>C25*C26</f>
        <v>30</v>
      </c>
      <c r="D24" s="275"/>
    </row>
    <row r="25" spans="1:3" ht="12.75">
      <c r="A25" s="79" t="s">
        <v>235</v>
      </c>
      <c r="B25" s="81" t="s">
        <v>194</v>
      </c>
      <c r="C25" s="294">
        <v>10</v>
      </c>
    </row>
    <row r="26" spans="1:3" ht="12.75">
      <c r="A26" s="161" t="s">
        <v>267</v>
      </c>
      <c r="B26" s="242" t="s">
        <v>229</v>
      </c>
      <c r="C26" s="294">
        <v>3</v>
      </c>
    </row>
    <row r="27" spans="1:4" ht="12.75" customHeight="1">
      <c r="A27" s="307" t="s">
        <v>271</v>
      </c>
      <c r="B27" s="242" t="s">
        <v>230</v>
      </c>
      <c r="C27" s="296">
        <f>C28*C29</f>
        <v>30</v>
      </c>
      <c r="D27" s="275"/>
    </row>
    <row r="28" spans="1:3" ht="12.75">
      <c r="A28" s="79" t="s">
        <v>235</v>
      </c>
      <c r="B28" s="81" t="s">
        <v>194</v>
      </c>
      <c r="C28" s="294">
        <v>10</v>
      </c>
    </row>
    <row r="29" spans="1:3" ht="12.75">
      <c r="A29" s="161" t="s">
        <v>267</v>
      </c>
      <c r="B29" s="242" t="s">
        <v>229</v>
      </c>
      <c r="C29" s="294">
        <v>3</v>
      </c>
    </row>
    <row r="30" spans="1:4" ht="12.75">
      <c r="A30" s="150" t="s">
        <v>231</v>
      </c>
      <c r="B30" s="81" t="s">
        <v>232</v>
      </c>
      <c r="C30" s="294">
        <f>(C24+C27)*1</f>
        <v>60</v>
      </c>
      <c r="D30" s="76" t="s">
        <v>233</v>
      </c>
    </row>
    <row r="31" ht="12.75">
      <c r="A31" s="60" t="s">
        <v>219</v>
      </c>
    </row>
    <row r="32" spans="1:4" ht="12.75" customHeight="1">
      <c r="A32" s="113" t="s">
        <v>268</v>
      </c>
      <c r="B32" s="242" t="s">
        <v>226</v>
      </c>
      <c r="C32" s="294">
        <v>5000</v>
      </c>
      <c r="D32" s="275"/>
    </row>
    <row r="33" spans="1:3" ht="12.75">
      <c r="A33" s="79" t="s">
        <v>227</v>
      </c>
      <c r="B33" s="81" t="s">
        <v>228</v>
      </c>
      <c r="C33" s="294">
        <v>2000</v>
      </c>
    </row>
    <row r="34" ht="12.75">
      <c r="A34" s="60" t="s">
        <v>220</v>
      </c>
    </row>
    <row r="35" spans="1:4" ht="12.75">
      <c r="A35" s="113" t="s">
        <v>221</v>
      </c>
      <c r="B35" s="242" t="s">
        <v>222</v>
      </c>
      <c r="C35" s="294">
        <v>30</v>
      </c>
      <c r="D35" s="275"/>
    </row>
    <row r="36" spans="1:4" ht="12.75">
      <c r="A36" s="79" t="s">
        <v>270</v>
      </c>
      <c r="B36" s="81" t="s">
        <v>224</v>
      </c>
      <c r="C36" s="142">
        <f>12*3</f>
        <v>36</v>
      </c>
      <c r="D36" s="76" t="s">
        <v>225</v>
      </c>
    </row>
    <row r="37" spans="1:4" ht="12.75">
      <c r="A37" s="330" t="s">
        <v>234</v>
      </c>
      <c r="B37" s="81" t="s">
        <v>226</v>
      </c>
      <c r="C37" s="142">
        <f>2*C36</f>
        <v>72</v>
      </c>
      <c r="D37" s="76" t="s">
        <v>272</v>
      </c>
    </row>
    <row r="38" spans="1:4" ht="12.75">
      <c r="A38" s="331"/>
      <c r="B38" s="81" t="s">
        <v>241</v>
      </c>
      <c r="C38" s="143">
        <f>C37/3</f>
        <v>24</v>
      </c>
      <c r="D38" s="76" t="s">
        <v>273</v>
      </c>
    </row>
    <row r="39" spans="1:4" ht="12.75">
      <c r="A39" s="79" t="s">
        <v>269</v>
      </c>
      <c r="B39" s="81" t="s">
        <v>37</v>
      </c>
      <c r="C39" s="291">
        <v>0.4</v>
      </c>
      <c r="D39" s="76" t="s">
        <v>208</v>
      </c>
    </row>
    <row r="41" ht="12.75">
      <c r="A41" s="60" t="s">
        <v>138</v>
      </c>
    </row>
    <row r="42" spans="1:4" ht="12.75" customHeight="1">
      <c r="A42" s="113" t="s">
        <v>49</v>
      </c>
      <c r="B42" s="242" t="s">
        <v>37</v>
      </c>
      <c r="C42" s="261">
        <v>0.07</v>
      </c>
      <c r="D42" s="275"/>
    </row>
    <row r="43" spans="1:3" ht="12.75">
      <c r="A43" s="79" t="s">
        <v>139</v>
      </c>
      <c r="B43" s="81" t="s">
        <v>140</v>
      </c>
      <c r="C43" s="227">
        <v>3</v>
      </c>
    </row>
    <row r="44" spans="1:3" ht="12.75">
      <c r="A44" s="79" t="s">
        <v>142</v>
      </c>
      <c r="B44" s="81" t="s">
        <v>143</v>
      </c>
      <c r="C44" s="142">
        <v>0</v>
      </c>
    </row>
    <row r="45" spans="1:3" ht="12.75">
      <c r="A45" s="79" t="s">
        <v>141</v>
      </c>
      <c r="B45" s="81" t="s">
        <v>143</v>
      </c>
      <c r="C45" s="142">
        <v>3</v>
      </c>
    </row>
  </sheetData>
  <sheetProtection/>
  <mergeCells count="2">
    <mergeCell ref="A1:C1"/>
    <mergeCell ref="A37:A38"/>
  </mergeCells>
  <printOptions/>
  <pageMargins left="0.4330708661417323" right="0.4724409448818898" top="0.37" bottom="0.23" header="0.24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1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" sqref="A9"/>
    </sheetView>
  </sheetViews>
  <sheetFormatPr defaultColWidth="8.875" defaultRowHeight="12.75"/>
  <cols>
    <col min="1" max="1" width="38.375" style="76" customWidth="1"/>
    <col min="2" max="2" width="15.375" style="76" customWidth="1"/>
    <col min="3" max="3" width="16.25390625" style="76" customWidth="1"/>
    <col min="4" max="4" width="14.00390625" style="76" customWidth="1"/>
    <col min="5" max="5" width="15.25390625" style="76" customWidth="1"/>
    <col min="6" max="6" width="25.00390625" style="76" customWidth="1"/>
    <col min="7" max="9" width="8.875" style="76" customWidth="1"/>
    <col min="10" max="10" width="8.00390625" style="76" customWidth="1"/>
    <col min="11" max="11" width="8.25390625" style="76" customWidth="1"/>
    <col min="12" max="16384" width="8.875" style="76" customWidth="1"/>
  </cols>
  <sheetData>
    <row r="1" ht="12.75">
      <c r="A1" s="60" t="s">
        <v>193</v>
      </c>
    </row>
    <row r="2" ht="3" customHeight="1">
      <c r="A2" s="60"/>
    </row>
    <row r="3" spans="1:3" ht="12.75">
      <c r="A3" s="76" t="s">
        <v>238</v>
      </c>
      <c r="C3" s="240"/>
    </row>
    <row r="4" spans="1:5" ht="12.75" customHeight="1">
      <c r="A4" s="288" t="s">
        <v>236</v>
      </c>
      <c r="B4" s="287" t="s">
        <v>176</v>
      </c>
      <c r="C4" s="287" t="s">
        <v>145</v>
      </c>
      <c r="D4" s="287" t="s">
        <v>237</v>
      </c>
      <c r="E4" s="237" t="s">
        <v>171</v>
      </c>
    </row>
    <row r="5" spans="1:6" ht="12.75">
      <c r="A5" s="332" t="s">
        <v>274</v>
      </c>
      <c r="B5" s="295" t="s">
        <v>194</v>
      </c>
      <c r="C5" s="143">
        <f>Исх!C24</f>
        <v>30</v>
      </c>
      <c r="D5" s="334">
        <f>Исх!C32</f>
        <v>5000</v>
      </c>
      <c r="E5" s="334">
        <f>C5*D5/1000</f>
        <v>150</v>
      </c>
      <c r="F5" s="277"/>
    </row>
    <row r="6" spans="1:6" ht="12.75">
      <c r="A6" s="333"/>
      <c r="B6" s="295" t="s">
        <v>229</v>
      </c>
      <c r="C6" s="143">
        <f>Исх!C26</f>
        <v>3</v>
      </c>
      <c r="D6" s="335"/>
      <c r="E6" s="335"/>
      <c r="F6" s="277"/>
    </row>
    <row r="7" spans="1:6" ht="12.75">
      <c r="A7" s="332" t="s">
        <v>275</v>
      </c>
      <c r="B7" s="295" t="s">
        <v>194</v>
      </c>
      <c r="C7" s="143">
        <f>Исх!C27</f>
        <v>30</v>
      </c>
      <c r="D7" s="334">
        <f>Исх!C32</f>
        <v>5000</v>
      </c>
      <c r="E7" s="334">
        <f>C7*D7/1000</f>
        <v>150</v>
      </c>
      <c r="F7" s="277"/>
    </row>
    <row r="8" spans="1:6" ht="12.75">
      <c r="A8" s="333"/>
      <c r="B8" s="295" t="s">
        <v>229</v>
      </c>
      <c r="C8" s="143">
        <f>Исх!C29</f>
        <v>3</v>
      </c>
      <c r="D8" s="335"/>
      <c r="E8" s="335"/>
      <c r="F8" s="277"/>
    </row>
    <row r="9" spans="1:6" ht="12.75">
      <c r="A9" s="79" t="s">
        <v>231</v>
      </c>
      <c r="B9" s="295" t="s">
        <v>239</v>
      </c>
      <c r="C9" s="143">
        <f>Исх!C30</f>
        <v>60</v>
      </c>
      <c r="D9" s="44">
        <f>Исх!C33</f>
        <v>2000</v>
      </c>
      <c r="E9" s="143">
        <f>C9*D9/1000</f>
        <v>120</v>
      </c>
      <c r="F9" s="277"/>
    </row>
    <row r="10" spans="1:6" ht="12.75">
      <c r="A10" s="243" t="s">
        <v>0</v>
      </c>
      <c r="B10" s="212"/>
      <c r="C10" s="212"/>
      <c r="D10" s="212"/>
      <c r="E10" s="212">
        <f>SUM(E5:E9)</f>
        <v>420</v>
      </c>
      <c r="F10" s="194"/>
    </row>
    <row r="11" ht="3" customHeight="1"/>
    <row r="12" ht="12.75">
      <c r="A12" s="265" t="s">
        <v>276</v>
      </c>
    </row>
  </sheetData>
  <sheetProtection/>
  <mergeCells count="6">
    <mergeCell ref="A5:A6"/>
    <mergeCell ref="D5:D6"/>
    <mergeCell ref="E5:E6"/>
    <mergeCell ref="A7:A8"/>
    <mergeCell ref="D7:D8"/>
    <mergeCell ref="E7:E8"/>
  </mergeCells>
  <printOptions/>
  <pageMargins left="0.41" right="0.18" top="0.65" bottom="0.38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" sqref="D7"/>
    </sheetView>
  </sheetViews>
  <sheetFormatPr defaultColWidth="8.875" defaultRowHeight="12.75"/>
  <cols>
    <col min="1" max="1" width="48.875" style="76" bestFit="1" customWidth="1"/>
    <col min="2" max="2" width="14.625" style="76" customWidth="1"/>
    <col min="3" max="3" width="10.875" style="76" customWidth="1"/>
    <col min="4" max="4" width="14.375" style="76" customWidth="1"/>
    <col min="5" max="5" width="10.875" style="76" customWidth="1"/>
    <col min="6" max="6" width="19.25390625" style="76" customWidth="1"/>
    <col min="7" max="7" width="15.375" style="76" customWidth="1"/>
    <col min="8" max="10" width="10.75390625" style="76" customWidth="1"/>
    <col min="11" max="16384" width="8.875" style="76" customWidth="1"/>
  </cols>
  <sheetData>
    <row r="1" spans="1:6" ht="12.75">
      <c r="A1" s="60" t="s">
        <v>242</v>
      </c>
      <c r="B1" s="60"/>
      <c r="C1" s="60"/>
      <c r="D1" s="60"/>
      <c r="E1" s="60"/>
      <c r="F1" s="60"/>
    </row>
    <row r="2" spans="1:6" ht="7.5" customHeight="1">
      <c r="A2" s="60"/>
      <c r="B2" s="60"/>
      <c r="D2" s="60"/>
      <c r="F2" s="60"/>
    </row>
    <row r="3" ht="12.75">
      <c r="A3" s="76" t="s">
        <v>238</v>
      </c>
    </row>
    <row r="4" spans="1:6" ht="12.75">
      <c r="A4" s="211" t="s">
        <v>240</v>
      </c>
      <c r="B4" s="226" t="s">
        <v>33</v>
      </c>
      <c r="C4" s="226" t="s">
        <v>176</v>
      </c>
      <c r="D4" s="226" t="s">
        <v>6</v>
      </c>
      <c r="E4" s="226" t="s">
        <v>176</v>
      </c>
      <c r="F4" s="226" t="s">
        <v>171</v>
      </c>
    </row>
    <row r="5" spans="1:6" ht="12.75">
      <c r="A5" s="79" t="str">
        <f>Дох!A5</f>
        <v>Групповые занятия каратэ</v>
      </c>
      <c r="B5" s="44">
        <f>Дох!C6</f>
        <v>3</v>
      </c>
      <c r="C5" s="298" t="str">
        <f>Дох!B6</f>
        <v>групп</v>
      </c>
      <c r="D5" s="44">
        <f>Исх!$C$38</f>
        <v>24</v>
      </c>
      <c r="E5" s="81" t="s">
        <v>51</v>
      </c>
      <c r="F5" s="44">
        <f>B5*D5</f>
        <v>72</v>
      </c>
    </row>
    <row r="6" spans="1:6" ht="12.75">
      <c r="A6" s="79" t="str">
        <f>Дох!A7</f>
        <v>Групповые занятия ушу, тхэквондо</v>
      </c>
      <c r="B6" s="44">
        <f>Дох!C8</f>
        <v>3</v>
      </c>
      <c r="C6" s="298" t="str">
        <f>Дох!B8</f>
        <v>групп</v>
      </c>
      <c r="D6" s="44">
        <f>Исх!$C$38</f>
        <v>24</v>
      </c>
      <c r="E6" s="81" t="s">
        <v>51</v>
      </c>
      <c r="F6" s="44">
        <f>B6*D6</f>
        <v>72</v>
      </c>
    </row>
    <row r="7" spans="1:6" ht="12.75">
      <c r="A7" s="79" t="str">
        <f>Дох!A9</f>
        <v>Индивидуальные занятия</v>
      </c>
      <c r="B7" s="44">
        <f>Дох!E9</f>
        <v>120</v>
      </c>
      <c r="C7" s="298" t="s">
        <v>51</v>
      </c>
      <c r="D7" s="299">
        <f>Исх!$C$39</f>
        <v>0.4</v>
      </c>
      <c r="E7" s="305" t="s">
        <v>37</v>
      </c>
      <c r="F7" s="44">
        <f>B7*D7</f>
        <v>48</v>
      </c>
    </row>
    <row r="8" spans="1:6" ht="12.75">
      <c r="A8" s="211" t="str">
        <f>Дох!A10</f>
        <v>Итого</v>
      </c>
      <c r="B8" s="297"/>
      <c r="C8" s="226"/>
      <c r="D8" s="297"/>
      <c r="E8" s="226"/>
      <c r="F8" s="297">
        <f>SUM(F5:F7)</f>
        <v>192</v>
      </c>
    </row>
  </sheetData>
  <sheetProtection/>
  <printOptions/>
  <pageMargins left="0.34" right="0.43" top="0.73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AJ13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O6" sqref="O6"/>
    </sheetView>
  </sheetViews>
  <sheetFormatPr defaultColWidth="10.125" defaultRowHeight="12.75" outlineLevelCol="1"/>
  <cols>
    <col min="1" max="1" width="31.25390625" style="230" customWidth="1"/>
    <col min="2" max="2" width="11.375" style="230" customWidth="1"/>
    <col min="3" max="3" width="6.375" style="230" bestFit="1" customWidth="1"/>
    <col min="4" max="12" width="9.00390625" style="230" hidden="1" customWidth="1" outlineLevel="1"/>
    <col min="13" max="14" width="8.625" style="230" hidden="1" customWidth="1" outlineLevel="1"/>
    <col min="15" max="15" width="8.875" style="230" hidden="1" customWidth="1" outlineLevel="1"/>
    <col min="16" max="16" width="9.125" style="230" customWidth="1" collapsed="1"/>
    <col min="17" max="28" width="8.375" style="230" hidden="1" customWidth="1" outlineLevel="1"/>
    <col min="29" max="29" width="9.125" style="230" customWidth="1" collapsed="1"/>
    <col min="30" max="32" width="9.125" style="230" customWidth="1"/>
    <col min="33" max="34" width="8.25390625" style="230" customWidth="1"/>
    <col min="35" max="35" width="8.25390625" style="228" customWidth="1"/>
    <col min="36" max="36" width="8.375" style="230" customWidth="1"/>
    <col min="37" max="16384" width="10.125" style="230" customWidth="1"/>
  </cols>
  <sheetData>
    <row r="1" spans="1:35" ht="21" customHeight="1">
      <c r="A1" s="233" t="s">
        <v>277</v>
      </c>
      <c r="B1" s="229"/>
      <c r="C1" s="229"/>
      <c r="AI1" s="230"/>
    </row>
    <row r="2" spans="1:35" ht="17.25" customHeight="1">
      <c r="A2" s="233"/>
      <c r="B2" s="234"/>
      <c r="C2" s="231"/>
      <c r="AI2" s="230"/>
    </row>
    <row r="3" spans="1:36" ht="12.75" customHeight="1">
      <c r="A3" s="338" t="s">
        <v>278</v>
      </c>
      <c r="B3" s="327"/>
      <c r="C3" s="340" t="s">
        <v>35</v>
      </c>
      <c r="D3" s="328">
        <v>2013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>
        <v>2014</v>
      </c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121">
        <v>2015</v>
      </c>
      <c r="AE3" s="121">
        <f aca="true" t="shared" si="0" ref="AE3:AJ3">AD3+1</f>
        <v>2016</v>
      </c>
      <c r="AF3" s="121">
        <f t="shared" si="0"/>
        <v>2017</v>
      </c>
      <c r="AG3" s="121">
        <f t="shared" si="0"/>
        <v>2018</v>
      </c>
      <c r="AH3" s="121">
        <f t="shared" si="0"/>
        <v>2019</v>
      </c>
      <c r="AI3" s="121">
        <f t="shared" si="0"/>
        <v>2020</v>
      </c>
      <c r="AJ3" s="121">
        <f t="shared" si="0"/>
        <v>2021</v>
      </c>
    </row>
    <row r="4" spans="1:36" ht="12.75">
      <c r="A4" s="339"/>
      <c r="B4" s="327"/>
      <c r="C4" s="341"/>
      <c r="D4" s="123">
        <f aca="true" t="shared" si="1" ref="D4:L4">C4+1</f>
        <v>1</v>
      </c>
      <c r="E4" s="123">
        <f t="shared" si="1"/>
        <v>2</v>
      </c>
      <c r="F4" s="123">
        <f t="shared" si="1"/>
        <v>3</v>
      </c>
      <c r="G4" s="123">
        <f t="shared" si="1"/>
        <v>4</v>
      </c>
      <c r="H4" s="123">
        <f t="shared" si="1"/>
        <v>5</v>
      </c>
      <c r="I4" s="123">
        <f t="shared" si="1"/>
        <v>6</v>
      </c>
      <c r="J4" s="123">
        <f t="shared" si="1"/>
        <v>7</v>
      </c>
      <c r="K4" s="123">
        <f t="shared" si="1"/>
        <v>8</v>
      </c>
      <c r="L4" s="123">
        <f t="shared" si="1"/>
        <v>9</v>
      </c>
      <c r="M4" s="123">
        <f>L4+1</f>
        <v>10</v>
      </c>
      <c r="N4" s="123">
        <f>M4+1</f>
        <v>11</v>
      </c>
      <c r="O4" s="123">
        <f>N4+1</f>
        <v>12</v>
      </c>
      <c r="P4" s="119" t="s">
        <v>0</v>
      </c>
      <c r="Q4" s="123">
        <v>1</v>
      </c>
      <c r="R4" s="123">
        <f aca="true" t="shared" si="2" ref="R4:AB4">Q4+1</f>
        <v>2</v>
      </c>
      <c r="S4" s="123">
        <f t="shared" si="2"/>
        <v>3</v>
      </c>
      <c r="T4" s="123">
        <f t="shared" si="2"/>
        <v>4</v>
      </c>
      <c r="U4" s="123">
        <f t="shared" si="2"/>
        <v>5</v>
      </c>
      <c r="V4" s="123">
        <f t="shared" si="2"/>
        <v>6</v>
      </c>
      <c r="W4" s="123">
        <f t="shared" si="2"/>
        <v>7</v>
      </c>
      <c r="X4" s="123">
        <f t="shared" si="2"/>
        <v>8</v>
      </c>
      <c r="Y4" s="123">
        <f t="shared" si="2"/>
        <v>9</v>
      </c>
      <c r="Z4" s="123">
        <f t="shared" si="2"/>
        <v>10</v>
      </c>
      <c r="AA4" s="123">
        <f t="shared" si="2"/>
        <v>11</v>
      </c>
      <c r="AB4" s="123">
        <f t="shared" si="2"/>
        <v>12</v>
      </c>
      <c r="AC4" s="119" t="s">
        <v>0</v>
      </c>
      <c r="AD4" s="119"/>
      <c r="AE4" s="119"/>
      <c r="AF4" s="119"/>
      <c r="AG4" s="119"/>
      <c r="AH4" s="119"/>
      <c r="AI4" s="119"/>
      <c r="AJ4" s="119"/>
    </row>
    <row r="5" spans="1:36" ht="15" customHeight="1">
      <c r="A5" s="232" t="s">
        <v>243</v>
      </c>
      <c r="B5" s="125"/>
      <c r="C5" s="126"/>
      <c r="D5" s="130"/>
      <c r="E5" s="130"/>
      <c r="F5" s="238"/>
      <c r="G5" s="238"/>
      <c r="H5" s="238"/>
      <c r="I5" s="238"/>
      <c r="J5" s="238"/>
      <c r="K5" s="238"/>
      <c r="L5" s="238"/>
      <c r="M5" s="238"/>
      <c r="N5" s="239">
        <v>0.55</v>
      </c>
      <c r="O5" s="239">
        <v>0.6</v>
      </c>
      <c r="P5" s="238">
        <f aca="true" t="shared" si="3" ref="P5:P10">AVERAGE(D5:O5)</f>
        <v>0.575</v>
      </c>
      <c r="Q5" s="239">
        <v>0.65</v>
      </c>
      <c r="R5" s="239">
        <v>0.7</v>
      </c>
      <c r="S5" s="239">
        <v>0.75</v>
      </c>
      <c r="T5" s="239">
        <v>0.8</v>
      </c>
      <c r="U5" s="239">
        <v>0.8</v>
      </c>
      <c r="V5" s="239">
        <v>0</v>
      </c>
      <c r="W5" s="239">
        <v>0</v>
      </c>
      <c r="X5" s="239">
        <v>0</v>
      </c>
      <c r="Y5" s="239">
        <v>0.8</v>
      </c>
      <c r="Z5" s="239">
        <v>0.9</v>
      </c>
      <c r="AA5" s="239">
        <v>1</v>
      </c>
      <c r="AB5" s="239">
        <v>1.1</v>
      </c>
      <c r="AC5" s="238">
        <f aca="true" t="shared" si="4" ref="AC5:AC10">AVERAGE(Q5:AB5)</f>
        <v>0.625</v>
      </c>
      <c r="AD5" s="239">
        <v>0.85</v>
      </c>
      <c r="AE5" s="239">
        <v>0.95</v>
      </c>
      <c r="AF5" s="239">
        <v>1</v>
      </c>
      <c r="AG5" s="239">
        <v>1.05</v>
      </c>
      <c r="AH5" s="239">
        <v>1.1</v>
      </c>
      <c r="AI5" s="239">
        <v>1.15</v>
      </c>
      <c r="AJ5" s="239">
        <v>1.2</v>
      </c>
    </row>
    <row r="6" spans="1:36" ht="12.75">
      <c r="A6" s="336" t="str">
        <f>Дох!A5</f>
        <v>Групповые занятия каратэ</v>
      </c>
      <c r="B6" s="131"/>
      <c r="C6" s="130" t="str">
        <f>Дох!B5</f>
        <v>чел.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>
        <f>Исх!$C$24*N$5</f>
        <v>16.5</v>
      </c>
      <c r="O6" s="130">
        <f>Исх!$C$24*O$5</f>
        <v>18</v>
      </c>
      <c r="P6" s="130">
        <f t="shared" si="3"/>
        <v>17.25</v>
      </c>
      <c r="Q6" s="130">
        <f>Исх!$C$24*Q$5</f>
        <v>19.5</v>
      </c>
      <c r="R6" s="130">
        <f>Исх!$C$24*R$5</f>
        <v>21</v>
      </c>
      <c r="S6" s="130">
        <f>Исх!$C$24*S$5</f>
        <v>22.5</v>
      </c>
      <c r="T6" s="130">
        <f>Исх!$C$24*T$5</f>
        <v>24</v>
      </c>
      <c r="U6" s="130">
        <f>Исх!$C$24*U$5</f>
        <v>24</v>
      </c>
      <c r="V6" s="130">
        <f>Исх!$C$24*V$5</f>
        <v>0</v>
      </c>
      <c r="W6" s="130">
        <f>Исх!$C$24*W$5</f>
        <v>0</v>
      </c>
      <c r="X6" s="130">
        <f>Исх!$C$24*X$5</f>
        <v>0</v>
      </c>
      <c r="Y6" s="130">
        <f>Исх!$C$24*Y$5</f>
        <v>24</v>
      </c>
      <c r="Z6" s="130">
        <f>Исх!$C$24*Z$5</f>
        <v>27</v>
      </c>
      <c r="AA6" s="130">
        <f>Исх!$C$24*AA$5</f>
        <v>30</v>
      </c>
      <c r="AB6" s="130">
        <f>Исх!$C$24*AB$5</f>
        <v>33</v>
      </c>
      <c r="AC6" s="130">
        <f t="shared" si="4"/>
        <v>18.75</v>
      </c>
      <c r="AD6" s="130">
        <f>Исх!$C$24*AD$5</f>
        <v>25.5</v>
      </c>
      <c r="AE6" s="130">
        <f>Исх!$C$24*AE$5</f>
        <v>28.5</v>
      </c>
      <c r="AF6" s="130">
        <f>Исх!$C$24*AF$5</f>
        <v>30</v>
      </c>
      <c r="AG6" s="130">
        <f>Исх!$C$24*AG$5</f>
        <v>31.5</v>
      </c>
      <c r="AH6" s="130">
        <f>Исх!$C$24*AH$5</f>
        <v>33</v>
      </c>
      <c r="AI6" s="130">
        <f>Исх!$C$24*AI$5</f>
        <v>34.5</v>
      </c>
      <c r="AJ6" s="130">
        <f>Исх!$C$24*AJ$5</f>
        <v>36</v>
      </c>
    </row>
    <row r="7" spans="1:36" ht="12.75">
      <c r="A7" s="337"/>
      <c r="B7" s="131"/>
      <c r="C7" s="130" t="str">
        <f>Дох!B6</f>
        <v>групп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>
        <f>ROUND(N6/Исх!$C$25,0)</f>
        <v>2</v>
      </c>
      <c r="O7" s="130">
        <f>ROUND(O6/Исх!$C$25,0)</f>
        <v>2</v>
      </c>
      <c r="P7" s="130">
        <f t="shared" si="3"/>
        <v>2</v>
      </c>
      <c r="Q7" s="130">
        <f>ROUND(Q6/Исх!$C$25,0)</f>
        <v>2</v>
      </c>
      <c r="R7" s="130">
        <f>ROUND(R6/Исх!$C$25,0)</f>
        <v>2</v>
      </c>
      <c r="S7" s="130">
        <f>ROUND(S6/Исх!$C$25,0)</f>
        <v>2</v>
      </c>
      <c r="T7" s="130">
        <f>ROUND(T6/Исх!$C$25,0)</f>
        <v>2</v>
      </c>
      <c r="U7" s="130">
        <f>ROUND(U6/Исх!$C$25,0)</f>
        <v>2</v>
      </c>
      <c r="V7" s="130">
        <f>ROUND(V6/Исх!$C$25,0)</f>
        <v>0</v>
      </c>
      <c r="W7" s="130">
        <f>ROUND(W6/Исх!$C$25,0)</f>
        <v>0</v>
      </c>
      <c r="X7" s="130">
        <f>ROUND(X6/Исх!$C$25,0)</f>
        <v>0</v>
      </c>
      <c r="Y7" s="130">
        <f>ROUND(Y6/Исх!$C$25,0)</f>
        <v>2</v>
      </c>
      <c r="Z7" s="130">
        <f>ROUND(Z6/Исх!$C$25,0)</f>
        <v>3</v>
      </c>
      <c r="AA7" s="130">
        <f>ROUND(AA6/Исх!$C$25,0)</f>
        <v>3</v>
      </c>
      <c r="AB7" s="130">
        <f>ROUND(AB6/Исх!$C$25,0)</f>
        <v>3</v>
      </c>
      <c r="AC7" s="130">
        <f t="shared" si="4"/>
        <v>1.75</v>
      </c>
      <c r="AD7" s="130">
        <f>ROUND(AD6/Исх!$C$25,0)</f>
        <v>3</v>
      </c>
      <c r="AE7" s="130">
        <f>ROUND(AE6/Исх!$C$25,0)</f>
        <v>3</v>
      </c>
      <c r="AF7" s="130">
        <f>ROUND(AF6/Исх!$C$25,0)</f>
        <v>3</v>
      </c>
      <c r="AG7" s="130">
        <f>ROUND(AG6/Исх!$C$25,0)</f>
        <v>3</v>
      </c>
      <c r="AH7" s="130">
        <f>ROUND(AH6/Исх!$C$25,0)</f>
        <v>3</v>
      </c>
      <c r="AI7" s="130">
        <f>ROUND(AI6/Исх!$C$25,0)</f>
        <v>3</v>
      </c>
      <c r="AJ7" s="130">
        <f>ROUND(AJ6/Исх!$C$25,0)</f>
        <v>4</v>
      </c>
    </row>
    <row r="8" spans="1:36" ht="12.75">
      <c r="A8" s="336" t="str">
        <f>Дох!A7</f>
        <v>Групповые занятия ушу, тхэквондо</v>
      </c>
      <c r="B8" s="131"/>
      <c r="C8" s="130" t="str">
        <f>Дох!B7</f>
        <v>чел.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>
        <f>Исх!$C$27*N$5</f>
        <v>16.5</v>
      </c>
      <c r="O8" s="130">
        <f>Исх!$C$27*O$5</f>
        <v>18</v>
      </c>
      <c r="P8" s="130">
        <f t="shared" si="3"/>
        <v>17.25</v>
      </c>
      <c r="Q8" s="130">
        <f>Исх!$C$27*Q$5</f>
        <v>19.5</v>
      </c>
      <c r="R8" s="130">
        <f>Исх!$C$27*R$5</f>
        <v>21</v>
      </c>
      <c r="S8" s="130">
        <f>Исх!$C$27*S$5</f>
        <v>22.5</v>
      </c>
      <c r="T8" s="130">
        <f>Исх!$C$27*T$5</f>
        <v>24</v>
      </c>
      <c r="U8" s="130">
        <f>Исх!$C$27*U$5</f>
        <v>24</v>
      </c>
      <c r="V8" s="130">
        <f>Исх!$C$27*V$5</f>
        <v>0</v>
      </c>
      <c r="W8" s="130">
        <f>Исх!$C$27*W$5</f>
        <v>0</v>
      </c>
      <c r="X8" s="130">
        <f>Исх!$C$27*X$5</f>
        <v>0</v>
      </c>
      <c r="Y8" s="130">
        <f>Исх!$C$27*Y$5</f>
        <v>24</v>
      </c>
      <c r="Z8" s="130">
        <f>Исх!$C$27*Z$5</f>
        <v>27</v>
      </c>
      <c r="AA8" s="130">
        <f>Исх!$C$27*AA$5</f>
        <v>30</v>
      </c>
      <c r="AB8" s="130">
        <f>Исх!$C$27*AB$5</f>
        <v>33</v>
      </c>
      <c r="AC8" s="130">
        <f t="shared" si="4"/>
        <v>18.75</v>
      </c>
      <c r="AD8" s="130">
        <f>Исх!$C$27*AD$5</f>
        <v>25.5</v>
      </c>
      <c r="AE8" s="130">
        <f>Исх!$C$27*AE$5</f>
        <v>28.5</v>
      </c>
      <c r="AF8" s="130">
        <f>Исх!$C$27*AF$5</f>
        <v>30</v>
      </c>
      <c r="AG8" s="130">
        <f>Исх!$C$27*AG$5</f>
        <v>31.5</v>
      </c>
      <c r="AH8" s="130">
        <f>Исх!$C$27*AH$5</f>
        <v>33</v>
      </c>
      <c r="AI8" s="130">
        <f>Исх!$C$27*AI$5</f>
        <v>34.5</v>
      </c>
      <c r="AJ8" s="130">
        <f>Исх!$C$27*AJ$5</f>
        <v>36</v>
      </c>
    </row>
    <row r="9" spans="1:36" ht="12.75">
      <c r="A9" s="337"/>
      <c r="B9" s="131"/>
      <c r="C9" s="130" t="str">
        <f>Дох!B8</f>
        <v>групп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>
        <f>ROUND(N8/Исх!$C$28,0)</f>
        <v>2</v>
      </c>
      <c r="O9" s="130">
        <f>ROUND(O8/Исх!$C$28,0)</f>
        <v>2</v>
      </c>
      <c r="P9" s="130">
        <f t="shared" si="3"/>
        <v>2</v>
      </c>
      <c r="Q9" s="130">
        <f>ROUND(Q8/Исх!$C$28,0)</f>
        <v>2</v>
      </c>
      <c r="R9" s="130">
        <f>ROUND(R8/Исх!$C$28,0)</f>
        <v>2</v>
      </c>
      <c r="S9" s="130">
        <f>ROUND(S8/Исх!$C$28,0)</f>
        <v>2</v>
      </c>
      <c r="T9" s="130">
        <f>ROUND(T8/Исх!$C$28,0)</f>
        <v>2</v>
      </c>
      <c r="U9" s="130">
        <f>ROUND(U8/Исх!$C$28,0)</f>
        <v>2</v>
      </c>
      <c r="V9" s="130">
        <f>ROUND(V8/Исх!$C$28,0)</f>
        <v>0</v>
      </c>
      <c r="W9" s="130">
        <f>ROUND(W8/Исх!$C$28,0)</f>
        <v>0</v>
      </c>
      <c r="X9" s="130">
        <f>ROUND(X8/Исх!$C$28,0)</f>
        <v>0</v>
      </c>
      <c r="Y9" s="130">
        <f>ROUND(Y8/Исх!$C$28,0)</f>
        <v>2</v>
      </c>
      <c r="Z9" s="130">
        <f>ROUND(Z8/Исх!$C$28,0)</f>
        <v>3</v>
      </c>
      <c r="AA9" s="130">
        <f>ROUND(AA8/Исх!$C$28,0)</f>
        <v>3</v>
      </c>
      <c r="AB9" s="130">
        <f>ROUND(AB8/Исх!$C$28,0)</f>
        <v>3</v>
      </c>
      <c r="AC9" s="130">
        <f t="shared" si="4"/>
        <v>1.75</v>
      </c>
      <c r="AD9" s="130">
        <f>ROUND(AD8/Исх!$C$28,0)</f>
        <v>3</v>
      </c>
      <c r="AE9" s="130">
        <f>ROUND(AE8/Исх!$C$28,0)</f>
        <v>3</v>
      </c>
      <c r="AF9" s="130">
        <f>ROUND(AF8/Исх!$C$28,0)</f>
        <v>3</v>
      </c>
      <c r="AG9" s="130">
        <f>ROUND(AG8/Исх!$C$28,0)</f>
        <v>3</v>
      </c>
      <c r="AH9" s="130">
        <f>ROUND(AH8/Исх!$C$28,0)</f>
        <v>3</v>
      </c>
      <c r="AI9" s="130">
        <f>ROUND(AI8/Исх!$C$28,0)</f>
        <v>3</v>
      </c>
      <c r="AJ9" s="130">
        <f>ROUND(AJ8/Исх!$C$28,0)</f>
        <v>4</v>
      </c>
    </row>
    <row r="10" spans="1:36" ht="12.75">
      <c r="A10" s="232" t="str">
        <f>Дох!A9</f>
        <v>Индивидуальные занятия</v>
      </c>
      <c r="B10" s="131"/>
      <c r="C10" s="130" t="str">
        <f>Дох!B9</f>
        <v>час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>
        <f>Исх!$C$30*N$5</f>
        <v>33</v>
      </c>
      <c r="O10" s="130">
        <f>Исх!$C$30*O$5</f>
        <v>36</v>
      </c>
      <c r="P10" s="130">
        <f t="shared" si="3"/>
        <v>34.5</v>
      </c>
      <c r="Q10" s="130">
        <f>Исх!$C$30*Q$5</f>
        <v>39</v>
      </c>
      <c r="R10" s="130">
        <f>Исх!$C$30*R$5</f>
        <v>42</v>
      </c>
      <c r="S10" s="130">
        <f>Исх!$C$30*S$5</f>
        <v>45</v>
      </c>
      <c r="T10" s="130">
        <f>Исх!$C$30*T$5</f>
        <v>48</v>
      </c>
      <c r="U10" s="130">
        <f>Исх!$C$30*U$5</f>
        <v>48</v>
      </c>
      <c r="V10" s="130">
        <f>Исх!$C$30*V$5</f>
        <v>0</v>
      </c>
      <c r="W10" s="130">
        <f>Исх!$C$30*W$5</f>
        <v>0</v>
      </c>
      <c r="X10" s="130">
        <f>Исх!$C$30*X$5</f>
        <v>0</v>
      </c>
      <c r="Y10" s="130">
        <f>Исх!$C$30*Y$5</f>
        <v>48</v>
      </c>
      <c r="Z10" s="130">
        <f>Исх!$C$30*Z$5</f>
        <v>54</v>
      </c>
      <c r="AA10" s="130">
        <f>Исх!$C$30*AA$5</f>
        <v>60</v>
      </c>
      <c r="AB10" s="130">
        <f>Исх!$C$30*AB$5</f>
        <v>66</v>
      </c>
      <c r="AC10" s="130">
        <f t="shared" si="4"/>
        <v>37.5</v>
      </c>
      <c r="AD10" s="130">
        <f>Исх!$C$30*AD$5</f>
        <v>51</v>
      </c>
      <c r="AE10" s="130">
        <f>Исх!$C$30*AE$5</f>
        <v>57</v>
      </c>
      <c r="AF10" s="130">
        <f>Исх!$C$30*AF$5</f>
        <v>60</v>
      </c>
      <c r="AG10" s="130">
        <f>Исх!$C$30*AG$5</f>
        <v>63</v>
      </c>
      <c r="AH10" s="130">
        <f>Исх!$C$30*AH$5</f>
        <v>66</v>
      </c>
      <c r="AI10" s="130">
        <f>Исх!$C$30*AI$5</f>
        <v>69</v>
      </c>
      <c r="AJ10" s="130">
        <f>Исх!$C$30*AJ$5</f>
        <v>72</v>
      </c>
    </row>
    <row r="12" spans="29:35" ht="12.75">
      <c r="AC12" s="260"/>
      <c r="AD12" s="259"/>
      <c r="AE12" s="259"/>
      <c r="AF12" s="259"/>
      <c r="AG12" s="259"/>
      <c r="AH12" s="259"/>
      <c r="AI12" s="259"/>
    </row>
    <row r="13" spans="29:35" ht="12.75">
      <c r="AC13" s="260"/>
      <c r="AD13" s="259"/>
      <c r="AE13" s="259"/>
      <c r="AF13" s="259"/>
      <c r="AG13" s="259"/>
      <c r="AH13" s="259"/>
      <c r="AI13" s="259"/>
    </row>
  </sheetData>
  <sheetProtection/>
  <mergeCells count="7">
    <mergeCell ref="A8:A9"/>
    <mergeCell ref="A3:A4"/>
    <mergeCell ref="B3:B4"/>
    <mergeCell ref="D3:P3"/>
    <mergeCell ref="Q3:AC3"/>
    <mergeCell ref="C3:C4"/>
    <mergeCell ref="A6:A7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X48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B12" sqref="B12"/>
    </sheetView>
  </sheetViews>
  <sheetFormatPr defaultColWidth="8.875" defaultRowHeight="12.75" outlineLevelRow="1"/>
  <cols>
    <col min="1" max="1" width="36.25390625" style="76" customWidth="1"/>
    <col min="2" max="2" width="13.25390625" style="76" bestFit="1" customWidth="1"/>
    <col min="3" max="11" width="7.875" style="76" customWidth="1"/>
    <col min="12" max="12" width="25.375" style="76" customWidth="1"/>
    <col min="13" max="13" width="5.375" style="76" customWidth="1"/>
    <col min="14" max="14" width="36.25390625" style="76" customWidth="1"/>
    <col min="15" max="15" width="10.125" style="76" bestFit="1" customWidth="1"/>
    <col min="16" max="24" width="7.875" style="76" customWidth="1"/>
    <col min="25" max="16384" width="8.875" style="76" customWidth="1"/>
  </cols>
  <sheetData>
    <row r="1" spans="1:14" ht="12.75">
      <c r="A1" s="60" t="s">
        <v>136</v>
      </c>
      <c r="N1" s="60" t="s">
        <v>207</v>
      </c>
    </row>
    <row r="2" spans="1:22" ht="12.75">
      <c r="A2" s="60"/>
      <c r="B2" s="194"/>
      <c r="C2" s="194"/>
      <c r="D2" s="194"/>
      <c r="E2" s="194"/>
      <c r="F2" s="194"/>
      <c r="G2" s="194"/>
      <c r="H2" s="194"/>
      <c r="I2" s="194"/>
      <c r="N2" s="60"/>
      <c r="O2" s="194"/>
      <c r="P2" s="194"/>
      <c r="Q2" s="194"/>
      <c r="R2" s="194"/>
      <c r="S2" s="194"/>
      <c r="T2" s="194"/>
      <c r="U2" s="194"/>
      <c r="V2" s="194"/>
    </row>
    <row r="3" spans="1:24" ht="12.75">
      <c r="A3" s="60"/>
      <c r="B3" s="76" t="s">
        <v>202</v>
      </c>
      <c r="C3" s="60"/>
      <c r="D3" s="274">
        <v>0.05</v>
      </c>
      <c r="E3" s="60"/>
      <c r="F3" s="60"/>
      <c r="G3" s="60"/>
      <c r="H3" s="60"/>
      <c r="I3" s="60"/>
      <c r="J3" s="60"/>
      <c r="K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3:24" ht="12.75">
      <c r="C4" s="137"/>
      <c r="D4" s="137"/>
      <c r="E4" s="137"/>
      <c r="F4" s="137"/>
      <c r="G4" s="137"/>
      <c r="H4" s="137"/>
      <c r="K4" s="144" t="str">
        <f>Исх!C11</f>
        <v>тыс.тг.</v>
      </c>
      <c r="P4" s="137"/>
      <c r="Q4" s="137"/>
      <c r="R4" s="137"/>
      <c r="S4" s="137"/>
      <c r="T4" s="137"/>
      <c r="U4" s="137"/>
      <c r="X4" s="144" t="str">
        <f>K4</f>
        <v>тыс.тг.</v>
      </c>
    </row>
    <row r="5" spans="1:24" ht="12.75">
      <c r="A5" s="272" t="s">
        <v>39</v>
      </c>
      <c r="B5" s="263" t="s">
        <v>6</v>
      </c>
      <c r="C5" s="273">
        <v>2013</v>
      </c>
      <c r="D5" s="273">
        <f aca="true" t="shared" si="0" ref="D5:J5">C5+1</f>
        <v>2014</v>
      </c>
      <c r="E5" s="273">
        <f t="shared" si="0"/>
        <v>2015</v>
      </c>
      <c r="F5" s="273">
        <f t="shared" si="0"/>
        <v>2016</v>
      </c>
      <c r="G5" s="273">
        <f t="shared" si="0"/>
        <v>2017</v>
      </c>
      <c r="H5" s="273">
        <f t="shared" si="0"/>
        <v>2018</v>
      </c>
      <c r="I5" s="273">
        <f t="shared" si="0"/>
        <v>2019</v>
      </c>
      <c r="J5" s="273">
        <f t="shared" si="0"/>
        <v>2020</v>
      </c>
      <c r="K5" s="273">
        <f>J5+1</f>
        <v>2021</v>
      </c>
      <c r="L5" s="273" t="s">
        <v>195</v>
      </c>
      <c r="N5" s="272" t="s">
        <v>39</v>
      </c>
      <c r="O5" s="263" t="s">
        <v>6</v>
      </c>
      <c r="P5" s="273">
        <v>2013</v>
      </c>
      <c r="Q5" s="273">
        <f aca="true" t="shared" si="1" ref="Q5:X5">P5+1</f>
        <v>2014</v>
      </c>
      <c r="R5" s="273">
        <f t="shared" si="1"/>
        <v>2015</v>
      </c>
      <c r="S5" s="273">
        <f t="shared" si="1"/>
        <v>2016</v>
      </c>
      <c r="T5" s="273">
        <f t="shared" si="1"/>
        <v>2017</v>
      </c>
      <c r="U5" s="273">
        <f t="shared" si="1"/>
        <v>2018</v>
      </c>
      <c r="V5" s="273">
        <f t="shared" si="1"/>
        <v>2019</v>
      </c>
      <c r="W5" s="273">
        <f t="shared" si="1"/>
        <v>2020</v>
      </c>
      <c r="X5" s="273">
        <f t="shared" si="1"/>
        <v>2021</v>
      </c>
    </row>
    <row r="6" spans="1:24" ht="12.75">
      <c r="A6" s="258" t="s">
        <v>40</v>
      </c>
      <c r="B6" s="143">
        <f>ФОТ!K24</f>
        <v>19.499699999999997</v>
      </c>
      <c r="C6" s="143">
        <f aca="true" t="shared" si="2" ref="C6:C12">B6</f>
        <v>19.499699999999997</v>
      </c>
      <c r="D6" s="148">
        <f aca="true" t="shared" si="3" ref="D6:J7">C6+C6*$D$3</f>
        <v>20.474684999999997</v>
      </c>
      <c r="E6" s="148">
        <f t="shared" si="3"/>
        <v>21.498419249999998</v>
      </c>
      <c r="F6" s="148">
        <f t="shared" si="3"/>
        <v>22.573340212499996</v>
      </c>
      <c r="G6" s="148">
        <f t="shared" si="3"/>
        <v>23.702007223124998</v>
      </c>
      <c r="H6" s="148">
        <f t="shared" si="3"/>
        <v>24.887107584281246</v>
      </c>
      <c r="I6" s="148">
        <f t="shared" si="3"/>
        <v>26.13146296349531</v>
      </c>
      <c r="J6" s="148">
        <f t="shared" si="3"/>
        <v>27.438036111670076</v>
      </c>
      <c r="K6" s="148">
        <f aca="true" t="shared" si="4" ref="K6:K12">J6+J6*$D$3</f>
        <v>28.80993791725358</v>
      </c>
      <c r="L6" s="148" t="s">
        <v>282</v>
      </c>
      <c r="N6" s="258" t="str">
        <f>A6</f>
        <v>ФОТ</v>
      </c>
      <c r="O6" s="143">
        <f aca="true" t="shared" si="5" ref="O6:X6">B6*12</f>
        <v>233.99639999999997</v>
      </c>
      <c r="P6" s="143">
        <f>C6*2</f>
        <v>38.999399999999994</v>
      </c>
      <c r="Q6" s="143">
        <f t="shared" si="5"/>
        <v>245.69621999999998</v>
      </c>
      <c r="R6" s="143">
        <f t="shared" si="5"/>
        <v>257.981031</v>
      </c>
      <c r="S6" s="143">
        <f t="shared" si="5"/>
        <v>270.88008254999994</v>
      </c>
      <c r="T6" s="143">
        <f t="shared" si="5"/>
        <v>284.4240866775</v>
      </c>
      <c r="U6" s="143">
        <f t="shared" si="5"/>
        <v>298.645291011375</v>
      </c>
      <c r="V6" s="143">
        <f t="shared" si="5"/>
        <v>313.5775555619437</v>
      </c>
      <c r="W6" s="143">
        <f t="shared" si="5"/>
        <v>329.2564333400409</v>
      </c>
      <c r="X6" s="143">
        <f t="shared" si="5"/>
        <v>345.719255007043</v>
      </c>
    </row>
    <row r="7" spans="1:24" ht="12.75">
      <c r="A7" s="257" t="s">
        <v>221</v>
      </c>
      <c r="B7" s="44">
        <f>Исх!C35</f>
        <v>30</v>
      </c>
      <c r="C7" s="143">
        <f t="shared" si="2"/>
        <v>30</v>
      </c>
      <c r="D7" s="148">
        <f>B7+C7*$D$3</f>
        <v>31.5</v>
      </c>
      <c r="E7" s="148">
        <f>D7+D7*$D$3</f>
        <v>33.075</v>
      </c>
      <c r="F7" s="148">
        <f t="shared" si="3"/>
        <v>34.728750000000005</v>
      </c>
      <c r="G7" s="148">
        <f t="shared" si="3"/>
        <v>36.465187500000006</v>
      </c>
      <c r="H7" s="148">
        <f t="shared" si="3"/>
        <v>38.288446875000005</v>
      </c>
      <c r="I7" s="148">
        <f t="shared" si="3"/>
        <v>40.20286921875</v>
      </c>
      <c r="J7" s="148">
        <f t="shared" si="3"/>
        <v>42.2130126796875</v>
      </c>
      <c r="K7" s="148">
        <f t="shared" si="4"/>
        <v>44.32366331367188</v>
      </c>
      <c r="L7" s="148" t="s">
        <v>279</v>
      </c>
      <c r="N7" s="258" t="str">
        <f aca="true" t="shared" si="6" ref="N7:N12">A7</f>
        <v>Аренда помещения</v>
      </c>
      <c r="O7" s="143">
        <f aca="true" t="shared" si="7" ref="O7:O12">B7*12</f>
        <v>360</v>
      </c>
      <c r="P7" s="143">
        <f aca="true" t="shared" si="8" ref="P7:P12">C7*2</f>
        <v>60</v>
      </c>
      <c r="Q7" s="143">
        <f aca="true" t="shared" si="9" ref="Q7:Q12">D7*12</f>
        <v>378</v>
      </c>
      <c r="R7" s="143">
        <f aca="true" t="shared" si="10" ref="R7:R12">E7*12</f>
        <v>396.90000000000003</v>
      </c>
      <c r="S7" s="143">
        <f aca="true" t="shared" si="11" ref="S7:S12">F7*12</f>
        <v>416.74500000000006</v>
      </c>
      <c r="T7" s="143">
        <f aca="true" t="shared" si="12" ref="T7:T12">G7*12</f>
        <v>437.58225000000004</v>
      </c>
      <c r="U7" s="143">
        <f aca="true" t="shared" si="13" ref="U7:U12">H7*12</f>
        <v>459.46136250000006</v>
      </c>
      <c r="V7" s="143">
        <f aca="true" t="shared" si="14" ref="V7:V12">I7*12</f>
        <v>482.434430625</v>
      </c>
      <c r="W7" s="143">
        <f aca="true" t="shared" si="15" ref="W7:W12">J7*12</f>
        <v>506.55615215625005</v>
      </c>
      <c r="X7" s="143">
        <f aca="true" t="shared" si="16" ref="X7:X12">K7*12</f>
        <v>531.8839597640625</v>
      </c>
    </row>
    <row r="8" spans="1:24" ht="12.75">
      <c r="A8" s="161" t="s">
        <v>196</v>
      </c>
      <c r="B8" s="266">
        <v>4</v>
      </c>
      <c r="C8" s="143">
        <f t="shared" si="2"/>
        <v>4</v>
      </c>
      <c r="D8" s="148">
        <f>C8*1.1</f>
        <v>4.4</v>
      </c>
      <c r="E8" s="148">
        <f>D8*1.1</f>
        <v>4.840000000000001</v>
      </c>
      <c r="F8" s="148">
        <f>E8+E8*$D$3</f>
        <v>5.082000000000001</v>
      </c>
      <c r="G8" s="148">
        <f>F8+F8*$D$3</f>
        <v>5.336100000000001</v>
      </c>
      <c r="H8" s="148">
        <f>G8+G8*$D$3</f>
        <v>5.602905000000001</v>
      </c>
      <c r="I8" s="148">
        <f>H8+H8*$D$3</f>
        <v>5.883050250000001</v>
      </c>
      <c r="J8" s="148">
        <f>I8+I8*$D$3</f>
        <v>6.177202762500001</v>
      </c>
      <c r="K8" s="148">
        <f t="shared" si="4"/>
        <v>6.486062900625002</v>
      </c>
      <c r="L8" s="148"/>
      <c r="N8" s="258" t="str">
        <f t="shared" si="6"/>
        <v>Хоз.нужды</v>
      </c>
      <c r="O8" s="143">
        <f t="shared" si="7"/>
        <v>48</v>
      </c>
      <c r="P8" s="143">
        <f t="shared" si="8"/>
        <v>8</v>
      </c>
      <c r="Q8" s="143">
        <f t="shared" si="9"/>
        <v>52.800000000000004</v>
      </c>
      <c r="R8" s="143">
        <f t="shared" si="10"/>
        <v>58.08000000000001</v>
      </c>
      <c r="S8" s="143">
        <f t="shared" si="11"/>
        <v>60.98400000000001</v>
      </c>
      <c r="T8" s="143">
        <f t="shared" si="12"/>
        <v>64.03320000000001</v>
      </c>
      <c r="U8" s="143">
        <f t="shared" si="13"/>
        <v>67.23486000000001</v>
      </c>
      <c r="V8" s="143">
        <f t="shared" si="14"/>
        <v>70.59660300000002</v>
      </c>
      <c r="W8" s="143">
        <f t="shared" si="15"/>
        <v>74.12643315000001</v>
      </c>
      <c r="X8" s="143">
        <f t="shared" si="16"/>
        <v>77.83275480750002</v>
      </c>
    </row>
    <row r="9" spans="1:24" ht="12.75">
      <c r="A9" s="79" t="s">
        <v>205</v>
      </c>
      <c r="B9" s="266">
        <v>10</v>
      </c>
      <c r="C9" s="143">
        <f t="shared" si="2"/>
        <v>10</v>
      </c>
      <c r="D9" s="148">
        <f aca="true" t="shared" si="17" ref="D9:J9">C9+C9*$D$3</f>
        <v>10.5</v>
      </c>
      <c r="E9" s="148">
        <f t="shared" si="17"/>
        <v>11.025</v>
      </c>
      <c r="F9" s="148">
        <f t="shared" si="17"/>
        <v>11.57625</v>
      </c>
      <c r="G9" s="148">
        <f t="shared" si="17"/>
        <v>12.1550625</v>
      </c>
      <c r="H9" s="148">
        <f t="shared" si="17"/>
        <v>12.762815625</v>
      </c>
      <c r="I9" s="148">
        <f t="shared" si="17"/>
        <v>13.40095640625</v>
      </c>
      <c r="J9" s="148">
        <f t="shared" si="17"/>
        <v>14.0710042265625</v>
      </c>
      <c r="K9" s="148">
        <f t="shared" si="4"/>
        <v>14.774554437890625</v>
      </c>
      <c r="L9" s="148"/>
      <c r="N9" s="258" t="str">
        <f t="shared" si="6"/>
        <v>Реклама</v>
      </c>
      <c r="O9" s="143">
        <f t="shared" si="7"/>
        <v>120</v>
      </c>
      <c r="P9" s="143">
        <f t="shared" si="8"/>
        <v>20</v>
      </c>
      <c r="Q9" s="143">
        <f t="shared" si="9"/>
        <v>126</v>
      </c>
      <c r="R9" s="143">
        <f t="shared" si="10"/>
        <v>132.3</v>
      </c>
      <c r="S9" s="143">
        <f t="shared" si="11"/>
        <v>138.915</v>
      </c>
      <c r="T9" s="143">
        <f t="shared" si="12"/>
        <v>145.86075</v>
      </c>
      <c r="U9" s="143">
        <f t="shared" si="13"/>
        <v>153.1537875</v>
      </c>
      <c r="V9" s="143">
        <f t="shared" si="14"/>
        <v>160.81147687499998</v>
      </c>
      <c r="W9" s="143">
        <f t="shared" si="15"/>
        <v>168.85205071875</v>
      </c>
      <c r="X9" s="143">
        <f t="shared" si="16"/>
        <v>177.2946532546875</v>
      </c>
    </row>
    <row r="10" spans="1:24" ht="12.75">
      <c r="A10" s="79" t="s">
        <v>280</v>
      </c>
      <c r="B10" s="266">
        <v>10</v>
      </c>
      <c r="C10" s="143">
        <f t="shared" si="2"/>
        <v>10</v>
      </c>
      <c r="D10" s="148">
        <f aca="true" t="shared" si="18" ref="D10:K10">C10+C10*$D$3</f>
        <v>10.5</v>
      </c>
      <c r="E10" s="148">
        <f t="shared" si="18"/>
        <v>11.025</v>
      </c>
      <c r="F10" s="148">
        <f t="shared" si="18"/>
        <v>11.57625</v>
      </c>
      <c r="G10" s="148">
        <f t="shared" si="18"/>
        <v>12.1550625</v>
      </c>
      <c r="H10" s="148">
        <f t="shared" si="18"/>
        <v>12.762815625</v>
      </c>
      <c r="I10" s="148">
        <f t="shared" si="18"/>
        <v>13.40095640625</v>
      </c>
      <c r="J10" s="148">
        <f t="shared" si="18"/>
        <v>14.0710042265625</v>
      </c>
      <c r="K10" s="148">
        <f t="shared" si="18"/>
        <v>14.774554437890625</v>
      </c>
      <c r="L10" s="148"/>
      <c r="N10" s="258" t="str">
        <f>A10</f>
        <v>Пополнение спортивного инвентаря</v>
      </c>
      <c r="O10" s="143">
        <f>B10*12</f>
        <v>120</v>
      </c>
      <c r="P10" s="143">
        <f t="shared" si="8"/>
        <v>20</v>
      </c>
      <c r="Q10" s="143">
        <f t="shared" si="9"/>
        <v>126</v>
      </c>
      <c r="R10" s="143">
        <f t="shared" si="10"/>
        <v>132.3</v>
      </c>
      <c r="S10" s="143">
        <f t="shared" si="11"/>
        <v>138.915</v>
      </c>
      <c r="T10" s="143">
        <f t="shared" si="12"/>
        <v>145.86075</v>
      </c>
      <c r="U10" s="143">
        <f t="shared" si="13"/>
        <v>153.1537875</v>
      </c>
      <c r="V10" s="143">
        <f t="shared" si="14"/>
        <v>160.81147687499998</v>
      </c>
      <c r="W10" s="143">
        <f t="shared" si="15"/>
        <v>168.85205071875</v>
      </c>
      <c r="X10" s="143">
        <f t="shared" si="16"/>
        <v>177.2946532546875</v>
      </c>
    </row>
    <row r="11" spans="1:24" ht="12.75">
      <c r="A11" s="161" t="s">
        <v>93</v>
      </c>
      <c r="B11" s="266">
        <v>4.5</v>
      </c>
      <c r="C11" s="143">
        <f t="shared" si="2"/>
        <v>4.5</v>
      </c>
      <c r="D11" s="148">
        <f aca="true" t="shared" si="19" ref="D11:J11">C11+C11*$D$3</f>
        <v>4.725</v>
      </c>
      <c r="E11" s="148">
        <f t="shared" si="19"/>
        <v>4.96125</v>
      </c>
      <c r="F11" s="148">
        <f t="shared" si="19"/>
        <v>5.209312499999999</v>
      </c>
      <c r="G11" s="148">
        <f t="shared" si="19"/>
        <v>5.4697781249999995</v>
      </c>
      <c r="H11" s="148">
        <f t="shared" si="19"/>
        <v>5.743267031249999</v>
      </c>
      <c r="I11" s="148">
        <f t="shared" si="19"/>
        <v>6.030430382812499</v>
      </c>
      <c r="J11" s="148">
        <f t="shared" si="19"/>
        <v>6.331951901953124</v>
      </c>
      <c r="K11" s="148">
        <f t="shared" si="4"/>
        <v>6.64854949705078</v>
      </c>
      <c r="L11" s="148" t="s">
        <v>223</v>
      </c>
      <c r="N11" s="258" t="str">
        <f t="shared" si="6"/>
        <v>Услуги банка</v>
      </c>
      <c r="O11" s="143">
        <f t="shared" si="7"/>
        <v>54</v>
      </c>
      <c r="P11" s="143">
        <f t="shared" si="8"/>
        <v>9</v>
      </c>
      <c r="Q11" s="143">
        <f t="shared" si="9"/>
        <v>56.699999999999996</v>
      </c>
      <c r="R11" s="143">
        <f t="shared" si="10"/>
        <v>59.535</v>
      </c>
      <c r="S11" s="143">
        <f t="shared" si="11"/>
        <v>62.51174999999999</v>
      </c>
      <c r="T11" s="143">
        <f t="shared" si="12"/>
        <v>65.6373375</v>
      </c>
      <c r="U11" s="143">
        <f t="shared" si="13"/>
        <v>68.91920437499999</v>
      </c>
      <c r="V11" s="143">
        <f t="shared" si="14"/>
        <v>72.36516459375</v>
      </c>
      <c r="W11" s="143">
        <f t="shared" si="15"/>
        <v>75.98342282343748</v>
      </c>
      <c r="X11" s="143">
        <f t="shared" si="16"/>
        <v>79.78259396460936</v>
      </c>
    </row>
    <row r="12" spans="1:24" ht="12.75">
      <c r="A12" s="79" t="s">
        <v>197</v>
      </c>
      <c r="B12" s="266">
        <v>10</v>
      </c>
      <c r="C12" s="143">
        <f t="shared" si="2"/>
        <v>10</v>
      </c>
      <c r="D12" s="148">
        <f aca="true" t="shared" si="20" ref="D12:J12">C12+C12*$D$3</f>
        <v>10.5</v>
      </c>
      <c r="E12" s="148">
        <f t="shared" si="20"/>
        <v>11.025</v>
      </c>
      <c r="F12" s="148">
        <f t="shared" si="20"/>
        <v>11.57625</v>
      </c>
      <c r="G12" s="148">
        <f t="shared" si="20"/>
        <v>12.1550625</v>
      </c>
      <c r="H12" s="148">
        <f t="shared" si="20"/>
        <v>12.762815625</v>
      </c>
      <c r="I12" s="148">
        <f t="shared" si="20"/>
        <v>13.40095640625</v>
      </c>
      <c r="J12" s="148">
        <f t="shared" si="20"/>
        <v>14.0710042265625</v>
      </c>
      <c r="K12" s="148">
        <f t="shared" si="4"/>
        <v>14.774554437890625</v>
      </c>
      <c r="L12" s="148"/>
      <c r="N12" s="258" t="str">
        <f t="shared" si="6"/>
        <v>Прочие</v>
      </c>
      <c r="O12" s="143">
        <f t="shared" si="7"/>
        <v>120</v>
      </c>
      <c r="P12" s="143">
        <f t="shared" si="8"/>
        <v>20</v>
      </c>
      <c r="Q12" s="143">
        <f t="shared" si="9"/>
        <v>126</v>
      </c>
      <c r="R12" s="143">
        <f t="shared" si="10"/>
        <v>132.3</v>
      </c>
      <c r="S12" s="143">
        <f t="shared" si="11"/>
        <v>138.915</v>
      </c>
      <c r="T12" s="143">
        <f t="shared" si="12"/>
        <v>145.86075</v>
      </c>
      <c r="U12" s="143">
        <f t="shared" si="13"/>
        <v>153.1537875</v>
      </c>
      <c r="V12" s="143">
        <f t="shared" si="14"/>
        <v>160.81147687499998</v>
      </c>
      <c r="W12" s="143">
        <f t="shared" si="15"/>
        <v>168.85205071875</v>
      </c>
      <c r="X12" s="143">
        <f t="shared" si="16"/>
        <v>177.2946532546875</v>
      </c>
    </row>
    <row r="13" spans="1:24" ht="12.75">
      <c r="A13" s="211" t="s">
        <v>0</v>
      </c>
      <c r="B13" s="212">
        <f aca="true" t="shared" si="21" ref="B13:K13">SUM(B6:B12)</f>
        <v>87.99969999999999</v>
      </c>
      <c r="C13" s="212">
        <f t="shared" si="21"/>
        <v>87.99969999999999</v>
      </c>
      <c r="D13" s="212">
        <f t="shared" si="21"/>
        <v>92.599685</v>
      </c>
      <c r="E13" s="212">
        <f t="shared" si="21"/>
        <v>97.44966925000003</v>
      </c>
      <c r="F13" s="212">
        <f t="shared" si="21"/>
        <v>102.3221527125</v>
      </c>
      <c r="G13" s="212">
        <f t="shared" si="21"/>
        <v>107.43826034812501</v>
      </c>
      <c r="H13" s="212">
        <f t="shared" si="21"/>
        <v>112.81017336553126</v>
      </c>
      <c r="I13" s="212">
        <f t="shared" si="21"/>
        <v>118.45068203380781</v>
      </c>
      <c r="J13" s="212">
        <f t="shared" si="21"/>
        <v>124.37321613549821</v>
      </c>
      <c r="K13" s="212">
        <f t="shared" si="21"/>
        <v>130.59187694227313</v>
      </c>
      <c r="L13" s="212"/>
      <c r="N13" s="211" t="s">
        <v>0</v>
      </c>
      <c r="O13" s="212">
        <f aca="true" t="shared" si="22" ref="O13:X13">SUM(O6:O12)</f>
        <v>1055.9964</v>
      </c>
      <c r="P13" s="212">
        <f t="shared" si="22"/>
        <v>175.99939999999998</v>
      </c>
      <c r="Q13" s="212">
        <f t="shared" si="22"/>
        <v>1111.19622</v>
      </c>
      <c r="R13" s="212">
        <f t="shared" si="22"/>
        <v>1169.396031</v>
      </c>
      <c r="S13" s="212">
        <f t="shared" si="22"/>
        <v>1227.8658325499998</v>
      </c>
      <c r="T13" s="212">
        <f t="shared" si="22"/>
        <v>1289.2591241775</v>
      </c>
      <c r="U13" s="212">
        <f t="shared" si="22"/>
        <v>1353.722080386375</v>
      </c>
      <c r="V13" s="212">
        <f t="shared" si="22"/>
        <v>1421.4081844056934</v>
      </c>
      <c r="W13" s="212">
        <f t="shared" si="22"/>
        <v>1492.4785936259784</v>
      </c>
      <c r="X13" s="212">
        <f t="shared" si="22"/>
        <v>1567.1025233072774</v>
      </c>
    </row>
    <row r="15" spans="1:24" ht="12.75">
      <c r="A15" s="60" t="s">
        <v>71</v>
      </c>
      <c r="C15" s="163">
        <f aca="true" t="shared" si="23" ref="C15:K15">SUM(C16:C16)</f>
        <v>0.09749849999999999</v>
      </c>
      <c r="D15" s="163">
        <f t="shared" si="23"/>
        <v>0.10237342499999999</v>
      </c>
      <c r="E15" s="163">
        <f t="shared" si="23"/>
        <v>0.10749209624999999</v>
      </c>
      <c r="F15" s="163">
        <f t="shared" si="23"/>
        <v>0.11286670106249998</v>
      </c>
      <c r="G15" s="163">
        <f t="shared" si="23"/>
        <v>0.118510036115625</v>
      </c>
      <c r="H15" s="163">
        <f t="shared" si="23"/>
        <v>0.12443553792140623</v>
      </c>
      <c r="I15" s="163">
        <f t="shared" si="23"/>
        <v>0.13065731481747656</v>
      </c>
      <c r="J15" s="163">
        <f t="shared" si="23"/>
        <v>0.1371901805583504</v>
      </c>
      <c r="K15" s="163">
        <f t="shared" si="23"/>
        <v>0.1440496895862679</v>
      </c>
      <c r="N15" s="60" t="s">
        <v>71</v>
      </c>
      <c r="P15" s="163">
        <f aca="true" t="shared" si="24" ref="P15:X15">SUM(P16:P16)</f>
        <v>0.19499699999999998</v>
      </c>
      <c r="Q15" s="163">
        <f t="shared" si="24"/>
        <v>1.2284810999999998</v>
      </c>
      <c r="R15" s="163">
        <f t="shared" si="24"/>
        <v>1.2899051549999998</v>
      </c>
      <c r="S15" s="163">
        <f t="shared" si="24"/>
        <v>1.3544004127499998</v>
      </c>
      <c r="T15" s="163">
        <f t="shared" si="24"/>
        <v>1.4221204333875</v>
      </c>
      <c r="U15" s="163">
        <f t="shared" si="24"/>
        <v>1.4932264550568748</v>
      </c>
      <c r="V15" s="163">
        <f t="shared" si="24"/>
        <v>1.5678877778097187</v>
      </c>
      <c r="W15" s="163">
        <f t="shared" si="24"/>
        <v>1.6462821667002046</v>
      </c>
      <c r="X15" s="163">
        <f t="shared" si="24"/>
        <v>1.7285962750352148</v>
      </c>
    </row>
    <row r="16" spans="1:24" ht="25.5">
      <c r="A16" s="161" t="s">
        <v>72</v>
      </c>
      <c r="B16" s="164">
        <v>0.005</v>
      </c>
      <c r="C16" s="165">
        <f aca="true" t="shared" si="25" ref="C16:K16">C6*$B$16</f>
        <v>0.09749849999999999</v>
      </c>
      <c r="D16" s="165">
        <f t="shared" si="25"/>
        <v>0.10237342499999999</v>
      </c>
      <c r="E16" s="165">
        <f t="shared" si="25"/>
        <v>0.10749209624999999</v>
      </c>
      <c r="F16" s="165">
        <f t="shared" si="25"/>
        <v>0.11286670106249998</v>
      </c>
      <c r="G16" s="165">
        <f t="shared" si="25"/>
        <v>0.118510036115625</v>
      </c>
      <c r="H16" s="165">
        <f t="shared" si="25"/>
        <v>0.12443553792140623</v>
      </c>
      <c r="I16" s="165">
        <f t="shared" si="25"/>
        <v>0.13065731481747656</v>
      </c>
      <c r="J16" s="165">
        <f t="shared" si="25"/>
        <v>0.1371901805583504</v>
      </c>
      <c r="K16" s="165">
        <f t="shared" si="25"/>
        <v>0.1440496895862679</v>
      </c>
      <c r="N16" s="161" t="str">
        <f>A16</f>
        <v>Стр-е гражданско-правовой ответ-ти работодателя</v>
      </c>
      <c r="O16" s="167">
        <f>B16</f>
        <v>0.005</v>
      </c>
      <c r="P16" s="165">
        <f>C16*2</f>
        <v>0.19499699999999998</v>
      </c>
      <c r="Q16" s="165">
        <f aca="true" t="shared" si="26" ref="Q16:X16">D16*12</f>
        <v>1.2284810999999998</v>
      </c>
      <c r="R16" s="165">
        <f t="shared" si="26"/>
        <v>1.2899051549999998</v>
      </c>
      <c r="S16" s="165">
        <f t="shared" si="26"/>
        <v>1.3544004127499998</v>
      </c>
      <c r="T16" s="165">
        <f t="shared" si="26"/>
        <v>1.4221204333875</v>
      </c>
      <c r="U16" s="165">
        <f t="shared" si="26"/>
        <v>1.4932264550568748</v>
      </c>
      <c r="V16" s="165">
        <f t="shared" si="26"/>
        <v>1.5678877778097187</v>
      </c>
      <c r="W16" s="165">
        <f t="shared" si="26"/>
        <v>1.6462821667002046</v>
      </c>
      <c r="X16" s="165">
        <f t="shared" si="26"/>
        <v>1.7285962750352148</v>
      </c>
    </row>
    <row r="18" spans="1:24" ht="12.75">
      <c r="A18" s="60" t="s">
        <v>73</v>
      </c>
      <c r="C18" s="166">
        <f>SUM(C19:C20)</f>
        <v>0</v>
      </c>
      <c r="D18" s="166">
        <f aca="true" t="shared" si="27" ref="D18:I18">SUM(D19:D20)</f>
        <v>0</v>
      </c>
      <c r="E18" s="166">
        <f t="shared" si="27"/>
        <v>0</v>
      </c>
      <c r="F18" s="166">
        <f t="shared" si="27"/>
        <v>0</v>
      </c>
      <c r="G18" s="166">
        <f t="shared" si="27"/>
        <v>0</v>
      </c>
      <c r="H18" s="166">
        <f t="shared" si="27"/>
        <v>0</v>
      </c>
      <c r="I18" s="166">
        <f t="shared" si="27"/>
        <v>0</v>
      </c>
      <c r="J18" s="166">
        <f>SUM(J19:J20)</f>
        <v>0</v>
      </c>
      <c r="K18" s="166">
        <f>SUM(K19:K20)</f>
        <v>0</v>
      </c>
      <c r="N18" s="60" t="s">
        <v>73</v>
      </c>
      <c r="P18" s="166">
        <f>SUM(P19:P20)</f>
        <v>0</v>
      </c>
      <c r="Q18" s="166">
        <f aca="true" t="shared" si="28" ref="Q18:V18">SUM(Q19:Q20)</f>
        <v>0</v>
      </c>
      <c r="R18" s="166">
        <f t="shared" si="28"/>
        <v>0</v>
      </c>
      <c r="S18" s="166">
        <f t="shared" si="28"/>
        <v>0</v>
      </c>
      <c r="T18" s="166">
        <f t="shared" si="28"/>
        <v>0</v>
      </c>
      <c r="U18" s="166">
        <f t="shared" si="28"/>
        <v>0</v>
      </c>
      <c r="V18" s="166">
        <f t="shared" si="28"/>
        <v>0</v>
      </c>
      <c r="W18" s="166">
        <f>SUM(W19:W20)</f>
        <v>0</v>
      </c>
      <c r="X18" s="166">
        <f>SUM(X19:X20)</f>
        <v>0</v>
      </c>
    </row>
    <row r="19" spans="1:24" ht="12.75" hidden="1">
      <c r="A19" s="79" t="s">
        <v>1</v>
      </c>
      <c r="B19" s="167">
        <f>Исх!C18*0</f>
        <v>0</v>
      </c>
      <c r="C19" s="148">
        <f aca="true" t="shared" si="29" ref="C19:K19">(C32+C35)/2*$B$19/12</f>
        <v>0</v>
      </c>
      <c r="D19" s="148">
        <f t="shared" si="29"/>
        <v>0</v>
      </c>
      <c r="E19" s="148">
        <f t="shared" si="29"/>
        <v>0</v>
      </c>
      <c r="F19" s="148">
        <f t="shared" si="29"/>
        <v>0</v>
      </c>
      <c r="G19" s="148">
        <f t="shared" si="29"/>
        <v>0</v>
      </c>
      <c r="H19" s="148">
        <f t="shared" si="29"/>
        <v>0</v>
      </c>
      <c r="I19" s="148">
        <f t="shared" si="29"/>
        <v>0</v>
      </c>
      <c r="J19" s="148">
        <f t="shared" si="29"/>
        <v>0</v>
      </c>
      <c r="K19" s="148">
        <f t="shared" si="29"/>
        <v>0</v>
      </c>
      <c r="N19" s="79" t="s">
        <v>1</v>
      </c>
      <c r="O19" s="167">
        <f>B19</f>
        <v>0</v>
      </c>
      <c r="P19" s="148">
        <f>C19*12</f>
        <v>0</v>
      </c>
      <c r="Q19" s="148">
        <f aca="true" t="shared" si="30" ref="Q19:X20">D19*12</f>
        <v>0</v>
      </c>
      <c r="R19" s="148">
        <f t="shared" si="30"/>
        <v>0</v>
      </c>
      <c r="S19" s="148">
        <f t="shared" si="30"/>
        <v>0</v>
      </c>
      <c r="T19" s="148">
        <f t="shared" si="30"/>
        <v>0</v>
      </c>
      <c r="U19" s="148">
        <f t="shared" si="30"/>
        <v>0</v>
      </c>
      <c r="V19" s="148">
        <f t="shared" si="30"/>
        <v>0</v>
      </c>
      <c r="W19" s="148">
        <f t="shared" si="30"/>
        <v>0</v>
      </c>
      <c r="X19" s="148">
        <f t="shared" si="30"/>
        <v>0</v>
      </c>
    </row>
    <row r="20" spans="1:24" ht="12.75">
      <c r="A20" s="79"/>
      <c r="B20" s="79"/>
      <c r="C20" s="142"/>
      <c r="D20" s="148">
        <f aca="true" t="shared" si="31" ref="D20:J20">C20+C20*$D$3</f>
        <v>0</v>
      </c>
      <c r="E20" s="148">
        <f t="shared" si="31"/>
        <v>0</v>
      </c>
      <c r="F20" s="148">
        <f t="shared" si="31"/>
        <v>0</v>
      </c>
      <c r="G20" s="148">
        <f t="shared" si="31"/>
        <v>0</v>
      </c>
      <c r="H20" s="148">
        <f t="shared" si="31"/>
        <v>0</v>
      </c>
      <c r="I20" s="148">
        <f t="shared" si="31"/>
        <v>0</v>
      </c>
      <c r="J20" s="148">
        <f t="shared" si="31"/>
        <v>0</v>
      </c>
      <c r="K20" s="148">
        <f>J20+J20*$D$3</f>
        <v>0</v>
      </c>
      <c r="N20" s="79" t="s">
        <v>206</v>
      </c>
      <c r="O20" s="79"/>
      <c r="P20" s="148">
        <f>C20*2</f>
        <v>0</v>
      </c>
      <c r="Q20" s="148">
        <f t="shared" si="30"/>
        <v>0</v>
      </c>
      <c r="R20" s="148">
        <f t="shared" si="30"/>
        <v>0</v>
      </c>
      <c r="S20" s="148">
        <f t="shared" si="30"/>
        <v>0</v>
      </c>
      <c r="T20" s="148">
        <f t="shared" si="30"/>
        <v>0</v>
      </c>
      <c r="U20" s="148">
        <f t="shared" si="30"/>
        <v>0</v>
      </c>
      <c r="V20" s="148">
        <f t="shared" si="30"/>
        <v>0</v>
      </c>
      <c r="W20" s="148">
        <f t="shared" si="30"/>
        <v>0</v>
      </c>
      <c r="X20" s="148">
        <f t="shared" si="30"/>
        <v>0</v>
      </c>
    </row>
    <row r="22" spans="3:16" ht="12.75">
      <c r="C22" s="168"/>
      <c r="P22" s="168"/>
    </row>
    <row r="23" spans="1:16" ht="12.75">
      <c r="A23" s="278" t="s">
        <v>74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P23" s="168"/>
    </row>
    <row r="24" spans="1:16" ht="12.75">
      <c r="A24" s="138" t="s">
        <v>80</v>
      </c>
      <c r="B24" s="139"/>
      <c r="C24" s="139">
        <f aca="true" t="shared" si="32" ref="C24:K24">C5</f>
        <v>2013</v>
      </c>
      <c r="D24" s="139">
        <f t="shared" si="32"/>
        <v>2014</v>
      </c>
      <c r="E24" s="139">
        <f t="shared" si="32"/>
        <v>2015</v>
      </c>
      <c r="F24" s="139">
        <f t="shared" si="32"/>
        <v>2016</v>
      </c>
      <c r="G24" s="139">
        <f t="shared" si="32"/>
        <v>2017</v>
      </c>
      <c r="H24" s="139">
        <f t="shared" si="32"/>
        <v>2018</v>
      </c>
      <c r="I24" s="139">
        <f t="shared" si="32"/>
        <v>2019</v>
      </c>
      <c r="J24" s="139">
        <f t="shared" si="32"/>
        <v>2020</v>
      </c>
      <c r="K24" s="139">
        <f t="shared" si="32"/>
        <v>2021</v>
      </c>
      <c r="P24" s="168"/>
    </row>
    <row r="25" spans="1:16" ht="12.75">
      <c r="A25" s="79" t="s">
        <v>75</v>
      </c>
      <c r="B25" s="169"/>
      <c r="C25" s="79"/>
      <c r="D25" s="79"/>
      <c r="E25" s="79"/>
      <c r="F25" s="79"/>
      <c r="G25" s="79"/>
      <c r="H25" s="79"/>
      <c r="I25" s="79"/>
      <c r="J25" s="79"/>
      <c r="K25" s="79"/>
      <c r="P25" s="168"/>
    </row>
    <row r="26" spans="1:16" ht="12.75">
      <c r="A26" s="79" t="s">
        <v>76</v>
      </c>
      <c r="B26" s="170"/>
      <c r="C26" s="148">
        <f>C32+C38+C44</f>
        <v>0</v>
      </c>
      <c r="D26" s="148">
        <f aca="true" t="shared" si="33" ref="D26:I26">D32+D38+D44</f>
        <v>691.1764705882352</v>
      </c>
      <c r="E26" s="148">
        <f t="shared" si="33"/>
        <v>608.2352941176471</v>
      </c>
      <c r="F26" s="148">
        <f t="shared" si="33"/>
        <v>525.2941176470588</v>
      </c>
      <c r="G26" s="148">
        <f t="shared" si="33"/>
        <v>442.35294117647055</v>
      </c>
      <c r="H26" s="148">
        <f t="shared" si="33"/>
        <v>359.4117647058823</v>
      </c>
      <c r="I26" s="148">
        <f t="shared" si="33"/>
        <v>276.4705882352941</v>
      </c>
      <c r="J26" s="148">
        <f aca="true" t="shared" si="34" ref="J26:K28">J32+J38+J44</f>
        <v>193.52941176470583</v>
      </c>
      <c r="K26" s="148">
        <f t="shared" si="34"/>
        <v>110.5882352941176</v>
      </c>
      <c r="P26" s="168"/>
    </row>
    <row r="27" spans="1:16" ht="12.75">
      <c r="A27" s="79" t="s">
        <v>77</v>
      </c>
      <c r="B27" s="170"/>
      <c r="C27" s="148">
        <f>C33+C39+C45</f>
        <v>705</v>
      </c>
      <c r="D27" s="148">
        <f aca="true" t="shared" si="35" ref="D27:I27">D33+D39+D45</f>
        <v>0</v>
      </c>
      <c r="E27" s="148">
        <f t="shared" si="35"/>
        <v>0</v>
      </c>
      <c r="F27" s="148">
        <f t="shared" si="35"/>
        <v>0</v>
      </c>
      <c r="G27" s="148">
        <f t="shared" si="35"/>
        <v>0</v>
      </c>
      <c r="H27" s="148">
        <f t="shared" si="35"/>
        <v>0</v>
      </c>
      <c r="I27" s="148">
        <f t="shared" si="35"/>
        <v>0</v>
      </c>
      <c r="J27" s="148">
        <f t="shared" si="34"/>
        <v>0</v>
      </c>
      <c r="K27" s="148">
        <f t="shared" si="34"/>
        <v>0</v>
      </c>
      <c r="P27" s="168"/>
    </row>
    <row r="28" spans="1:16" ht="12.75">
      <c r="A28" s="150" t="s">
        <v>78</v>
      </c>
      <c r="B28" s="150"/>
      <c r="C28" s="149">
        <f>C34+C40+C46</f>
        <v>13.823529411764705</v>
      </c>
      <c r="D28" s="149">
        <f aca="true" t="shared" si="36" ref="D28:I28">D34+D40+D46</f>
        <v>82.94117647058823</v>
      </c>
      <c r="E28" s="149">
        <f t="shared" si="36"/>
        <v>82.94117647058823</v>
      </c>
      <c r="F28" s="149">
        <f t="shared" si="36"/>
        <v>82.94117647058823</v>
      </c>
      <c r="G28" s="149">
        <f t="shared" si="36"/>
        <v>82.94117647058823</v>
      </c>
      <c r="H28" s="149">
        <f t="shared" si="36"/>
        <v>82.94117647058823</v>
      </c>
      <c r="I28" s="149">
        <f t="shared" si="36"/>
        <v>82.94117647058823</v>
      </c>
      <c r="J28" s="149">
        <f t="shared" si="34"/>
        <v>82.94117647058823</v>
      </c>
      <c r="K28" s="149">
        <f t="shared" si="34"/>
        <v>82.94117647058823</v>
      </c>
      <c r="P28" s="168"/>
    </row>
    <row r="29" spans="1:16" ht="12.75">
      <c r="A29" s="79" t="s">
        <v>79</v>
      </c>
      <c r="B29" s="170"/>
      <c r="C29" s="148">
        <f aca="true" t="shared" si="37" ref="C29:I29">C26+C27-C28</f>
        <v>691.1764705882352</v>
      </c>
      <c r="D29" s="148">
        <f t="shared" si="37"/>
        <v>608.2352941176471</v>
      </c>
      <c r="E29" s="148">
        <f t="shared" si="37"/>
        <v>525.2941176470588</v>
      </c>
      <c r="F29" s="148">
        <f t="shared" si="37"/>
        <v>442.35294117647055</v>
      </c>
      <c r="G29" s="148">
        <f t="shared" si="37"/>
        <v>359.4117647058823</v>
      </c>
      <c r="H29" s="148">
        <f t="shared" si="37"/>
        <v>276.4705882352941</v>
      </c>
      <c r="I29" s="148">
        <f t="shared" si="37"/>
        <v>193.52941176470586</v>
      </c>
      <c r="J29" s="148">
        <f>J26+J27-J28</f>
        <v>110.5882352941176</v>
      </c>
      <c r="K29" s="148">
        <f>K26+K27-K28</f>
        <v>27.647058823529363</v>
      </c>
      <c r="P29" s="168"/>
    </row>
    <row r="30" spans="1:16" ht="12.75" outlineLevel="1">
      <c r="A30" s="77" t="s">
        <v>101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P30" s="168"/>
    </row>
    <row r="31" spans="1:16" ht="12.75" outlineLevel="1">
      <c r="A31" s="79" t="s">
        <v>75</v>
      </c>
      <c r="B31" s="308">
        <f>100%/12</f>
        <v>0.08333333333333333</v>
      </c>
      <c r="C31" s="79"/>
      <c r="D31" s="79"/>
      <c r="E31" s="79"/>
      <c r="F31" s="79"/>
      <c r="G31" s="79"/>
      <c r="H31" s="79"/>
      <c r="I31" s="79"/>
      <c r="J31" s="79"/>
      <c r="K31" s="79"/>
      <c r="P31" s="168"/>
    </row>
    <row r="32" spans="1:16" ht="12.75" outlineLevel="1">
      <c r="A32" s="79" t="s">
        <v>76</v>
      </c>
      <c r="B32" s="170"/>
      <c r="C32" s="143"/>
      <c r="D32" s="148">
        <f aca="true" t="shared" si="38" ref="D32:J32">C35</f>
        <v>0</v>
      </c>
      <c r="E32" s="148">
        <f t="shared" si="38"/>
        <v>0</v>
      </c>
      <c r="F32" s="148">
        <f t="shared" si="38"/>
        <v>0</v>
      </c>
      <c r="G32" s="148">
        <f t="shared" si="38"/>
        <v>0</v>
      </c>
      <c r="H32" s="148">
        <f t="shared" si="38"/>
        <v>0</v>
      </c>
      <c r="I32" s="148">
        <f t="shared" si="38"/>
        <v>0</v>
      </c>
      <c r="J32" s="148">
        <f t="shared" si="38"/>
        <v>0</v>
      </c>
      <c r="K32" s="148">
        <f>J35</f>
        <v>0</v>
      </c>
      <c r="P32" s="168"/>
    </row>
    <row r="33" spans="1:16" ht="12.75" outlineLevel="1">
      <c r="A33" s="79" t="s">
        <v>77</v>
      </c>
      <c r="B33" s="170"/>
      <c r="C33" s="148">
        <f>Инв!C18</f>
        <v>0</v>
      </c>
      <c r="D33" s="148"/>
      <c r="E33" s="148"/>
      <c r="F33" s="148"/>
      <c r="G33" s="148"/>
      <c r="H33" s="148"/>
      <c r="I33" s="148"/>
      <c r="J33" s="148"/>
      <c r="K33" s="148"/>
      <c r="P33" s="168"/>
    </row>
    <row r="34" spans="1:16" ht="12.75" outlineLevel="1">
      <c r="A34" s="150" t="s">
        <v>78</v>
      </c>
      <c r="B34" s="150"/>
      <c r="C34" s="149">
        <f>$C33*$B31/12*2</f>
        <v>0</v>
      </c>
      <c r="D34" s="149">
        <f>$C33*$B31</f>
        <v>0</v>
      </c>
      <c r="E34" s="149">
        <f>$C33*$B31</f>
        <v>0</v>
      </c>
      <c r="F34" s="149">
        <f aca="true" t="shared" si="39" ref="F34:K34">$C33*$B31</f>
        <v>0</v>
      </c>
      <c r="G34" s="149">
        <f t="shared" si="39"/>
        <v>0</v>
      </c>
      <c r="H34" s="149">
        <f t="shared" si="39"/>
        <v>0</v>
      </c>
      <c r="I34" s="149">
        <f t="shared" si="39"/>
        <v>0</v>
      </c>
      <c r="J34" s="149">
        <f t="shared" si="39"/>
        <v>0</v>
      </c>
      <c r="K34" s="149">
        <f t="shared" si="39"/>
        <v>0</v>
      </c>
      <c r="P34" s="168"/>
    </row>
    <row r="35" spans="1:16" ht="12.75" outlineLevel="1">
      <c r="A35" s="79" t="s">
        <v>79</v>
      </c>
      <c r="B35" s="170"/>
      <c r="C35" s="148">
        <f aca="true" t="shared" si="40" ref="C35:I35">C32+C33-C34</f>
        <v>0</v>
      </c>
      <c r="D35" s="148">
        <f t="shared" si="40"/>
        <v>0</v>
      </c>
      <c r="E35" s="148">
        <f t="shared" si="40"/>
        <v>0</v>
      </c>
      <c r="F35" s="148">
        <f t="shared" si="40"/>
        <v>0</v>
      </c>
      <c r="G35" s="148">
        <f t="shared" si="40"/>
        <v>0</v>
      </c>
      <c r="H35" s="148">
        <f t="shared" si="40"/>
        <v>0</v>
      </c>
      <c r="I35" s="148">
        <f t="shared" si="40"/>
        <v>0</v>
      </c>
      <c r="J35" s="148">
        <f>J32+J33-J34</f>
        <v>0</v>
      </c>
      <c r="K35" s="148">
        <f>K32+K33-K34</f>
        <v>0</v>
      </c>
      <c r="P35" s="168"/>
    </row>
    <row r="36" spans="1:16" ht="12.75" outlineLevel="1">
      <c r="A36" s="77" t="s">
        <v>97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P36" s="168"/>
    </row>
    <row r="37" spans="1:16" ht="12.75" outlineLevel="1">
      <c r="A37" s="79" t="s">
        <v>75</v>
      </c>
      <c r="B37" s="308">
        <f>100%/8.5</f>
        <v>0.11764705882352941</v>
      </c>
      <c r="C37" s="79"/>
      <c r="D37" s="79"/>
      <c r="E37" s="79"/>
      <c r="F37" s="79"/>
      <c r="G37" s="79"/>
      <c r="H37" s="79"/>
      <c r="I37" s="79"/>
      <c r="J37" s="79"/>
      <c r="K37" s="79"/>
      <c r="P37" s="168"/>
    </row>
    <row r="38" spans="1:16" ht="12.75" outlineLevel="1">
      <c r="A38" s="79" t="s">
        <v>76</v>
      </c>
      <c r="B38" s="170"/>
      <c r="C38" s="148"/>
      <c r="D38" s="148">
        <f aca="true" t="shared" si="41" ref="D38:J38">C41</f>
        <v>667.6470588235294</v>
      </c>
      <c r="E38" s="148">
        <f t="shared" si="41"/>
        <v>587.5294117647059</v>
      </c>
      <c r="F38" s="148">
        <f t="shared" si="41"/>
        <v>507.4117647058823</v>
      </c>
      <c r="G38" s="148">
        <f t="shared" si="41"/>
        <v>427.2941176470588</v>
      </c>
      <c r="H38" s="148">
        <f t="shared" si="41"/>
        <v>347.17647058823525</v>
      </c>
      <c r="I38" s="148">
        <f t="shared" si="41"/>
        <v>267.0588235294117</v>
      </c>
      <c r="J38" s="148">
        <f t="shared" si="41"/>
        <v>186.94117647058818</v>
      </c>
      <c r="K38" s="148">
        <f>J41</f>
        <v>106.82352941176465</v>
      </c>
      <c r="P38" s="168"/>
    </row>
    <row r="39" spans="1:16" ht="12.75" outlineLevel="1">
      <c r="A39" s="79" t="s">
        <v>77</v>
      </c>
      <c r="B39" s="170"/>
      <c r="C39" s="148">
        <f>Инв!C19</f>
        <v>681</v>
      </c>
      <c r="D39" s="148"/>
      <c r="E39" s="148"/>
      <c r="F39" s="148"/>
      <c r="G39" s="148"/>
      <c r="H39" s="148"/>
      <c r="I39" s="148"/>
      <c r="J39" s="148"/>
      <c r="K39" s="148"/>
      <c r="P39" s="168"/>
    </row>
    <row r="40" spans="1:16" ht="12.75" outlineLevel="1">
      <c r="A40" s="150" t="s">
        <v>78</v>
      </c>
      <c r="B40" s="150"/>
      <c r="C40" s="149">
        <f>$C39*$B37/12*2</f>
        <v>13.352941176470587</v>
      </c>
      <c r="D40" s="149">
        <f aca="true" t="shared" si="42" ref="D40:K40">$C39*$B37</f>
        <v>80.11764705882352</v>
      </c>
      <c r="E40" s="149">
        <f t="shared" si="42"/>
        <v>80.11764705882352</v>
      </c>
      <c r="F40" s="149">
        <f t="shared" si="42"/>
        <v>80.11764705882352</v>
      </c>
      <c r="G40" s="149">
        <f t="shared" si="42"/>
        <v>80.11764705882352</v>
      </c>
      <c r="H40" s="149">
        <f t="shared" si="42"/>
        <v>80.11764705882352</v>
      </c>
      <c r="I40" s="149">
        <f t="shared" si="42"/>
        <v>80.11764705882352</v>
      </c>
      <c r="J40" s="149">
        <f t="shared" si="42"/>
        <v>80.11764705882352</v>
      </c>
      <c r="K40" s="149">
        <f t="shared" si="42"/>
        <v>80.11764705882352</v>
      </c>
      <c r="P40" s="168"/>
    </row>
    <row r="41" spans="1:16" ht="12.75" outlineLevel="1">
      <c r="A41" s="79" t="s">
        <v>79</v>
      </c>
      <c r="B41" s="170"/>
      <c r="C41" s="148">
        <f aca="true" t="shared" si="43" ref="C41:I41">C38+C39-C40</f>
        <v>667.6470588235294</v>
      </c>
      <c r="D41" s="148">
        <f t="shared" si="43"/>
        <v>587.5294117647059</v>
      </c>
      <c r="E41" s="148">
        <f t="shared" si="43"/>
        <v>507.4117647058823</v>
      </c>
      <c r="F41" s="148">
        <f t="shared" si="43"/>
        <v>427.2941176470588</v>
      </c>
      <c r="G41" s="148">
        <f t="shared" si="43"/>
        <v>347.17647058823525</v>
      </c>
      <c r="H41" s="148">
        <f t="shared" si="43"/>
        <v>267.0588235294117</v>
      </c>
      <c r="I41" s="148">
        <f t="shared" si="43"/>
        <v>186.94117647058818</v>
      </c>
      <c r="J41" s="148">
        <f>J38+J39-J40</f>
        <v>106.82352941176465</v>
      </c>
      <c r="K41" s="148">
        <f>K38+K39-K40</f>
        <v>26.70588235294113</v>
      </c>
      <c r="P41" s="168"/>
    </row>
    <row r="42" spans="1:16" ht="12.75" outlineLevel="1">
      <c r="A42" s="77" t="s">
        <v>191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P42" s="168"/>
    </row>
    <row r="43" spans="1:16" ht="12.75" outlineLevel="1">
      <c r="A43" s="79" t="s">
        <v>75</v>
      </c>
      <c r="B43" s="171">
        <f>100%/8.5</f>
        <v>0.11764705882352941</v>
      </c>
      <c r="C43" s="79"/>
      <c r="D43" s="79"/>
      <c r="E43" s="79"/>
      <c r="F43" s="79"/>
      <c r="G43" s="79"/>
      <c r="H43" s="79"/>
      <c r="I43" s="79"/>
      <c r="J43" s="79"/>
      <c r="K43" s="79"/>
      <c r="P43" s="168"/>
    </row>
    <row r="44" spans="1:16" ht="12.75" outlineLevel="1">
      <c r="A44" s="79" t="s">
        <v>76</v>
      </c>
      <c r="B44" s="170"/>
      <c r="C44" s="148"/>
      <c r="D44" s="148">
        <f aca="true" t="shared" si="44" ref="D44:J44">C47</f>
        <v>23.529411764705884</v>
      </c>
      <c r="E44" s="148">
        <f t="shared" si="44"/>
        <v>20.705882352941178</v>
      </c>
      <c r="F44" s="148">
        <f t="shared" si="44"/>
        <v>17.88235294117647</v>
      </c>
      <c r="G44" s="148">
        <f t="shared" si="44"/>
        <v>15.058823529411764</v>
      </c>
      <c r="H44" s="148">
        <f t="shared" si="44"/>
        <v>12.235294117647058</v>
      </c>
      <c r="I44" s="148">
        <f t="shared" si="44"/>
        <v>9.411764705882351</v>
      </c>
      <c r="J44" s="148">
        <f t="shared" si="44"/>
        <v>6.588235294117646</v>
      </c>
      <c r="K44" s="148">
        <f>J47</f>
        <v>3.7647058823529402</v>
      </c>
      <c r="P44" s="168"/>
    </row>
    <row r="45" spans="1:16" ht="12.75" outlineLevel="1">
      <c r="A45" s="79" t="s">
        <v>77</v>
      </c>
      <c r="B45" s="170"/>
      <c r="C45" s="148">
        <f>Инв!C20</f>
        <v>24</v>
      </c>
      <c r="D45" s="148"/>
      <c r="E45" s="148"/>
      <c r="F45" s="148"/>
      <c r="G45" s="148"/>
      <c r="H45" s="148"/>
      <c r="I45" s="148"/>
      <c r="J45" s="148"/>
      <c r="K45" s="148"/>
      <c r="P45" s="168"/>
    </row>
    <row r="46" spans="1:16" ht="12.75" outlineLevel="1">
      <c r="A46" s="150" t="s">
        <v>78</v>
      </c>
      <c r="B46" s="150"/>
      <c r="C46" s="149">
        <f>$C45*$B43/12*2</f>
        <v>0.4705882352941176</v>
      </c>
      <c r="D46" s="149">
        <f>$C45*$B43</f>
        <v>2.8235294117647056</v>
      </c>
      <c r="E46" s="149">
        <f>$C45*$B43</f>
        <v>2.8235294117647056</v>
      </c>
      <c r="F46" s="149">
        <f aca="true" t="shared" si="45" ref="F46:K46">$C45*$B43</f>
        <v>2.8235294117647056</v>
      </c>
      <c r="G46" s="149">
        <f t="shared" si="45"/>
        <v>2.8235294117647056</v>
      </c>
      <c r="H46" s="149">
        <f t="shared" si="45"/>
        <v>2.8235294117647056</v>
      </c>
      <c r="I46" s="149">
        <f t="shared" si="45"/>
        <v>2.8235294117647056</v>
      </c>
      <c r="J46" s="149">
        <f t="shared" si="45"/>
        <v>2.8235294117647056</v>
      </c>
      <c r="K46" s="149">
        <f t="shared" si="45"/>
        <v>2.8235294117647056</v>
      </c>
      <c r="P46" s="168"/>
    </row>
    <row r="47" spans="1:16" ht="12.75" outlineLevel="1">
      <c r="A47" s="79" t="s">
        <v>79</v>
      </c>
      <c r="B47" s="170"/>
      <c r="C47" s="148">
        <f aca="true" t="shared" si="46" ref="C47:I47">C44+C45-C46</f>
        <v>23.529411764705884</v>
      </c>
      <c r="D47" s="148">
        <f t="shared" si="46"/>
        <v>20.705882352941178</v>
      </c>
      <c r="E47" s="148">
        <f t="shared" si="46"/>
        <v>17.88235294117647</v>
      </c>
      <c r="F47" s="148">
        <f t="shared" si="46"/>
        <v>15.058823529411764</v>
      </c>
      <c r="G47" s="148">
        <f t="shared" si="46"/>
        <v>12.235294117647058</v>
      </c>
      <c r="H47" s="148">
        <f t="shared" si="46"/>
        <v>9.411764705882351</v>
      </c>
      <c r="I47" s="148">
        <f t="shared" si="46"/>
        <v>6.588235294117646</v>
      </c>
      <c r="J47" s="148">
        <f>J44+J45-J46</f>
        <v>3.7647058823529402</v>
      </c>
      <c r="K47" s="148">
        <f>K44+K45-K46</f>
        <v>0.9411764705882346</v>
      </c>
      <c r="P47" s="168"/>
    </row>
    <row r="48" ht="12.75">
      <c r="P48" s="168"/>
    </row>
  </sheetData>
  <sheetProtection/>
  <printOptions/>
  <pageMargins left="0.26" right="0.2" top="0.49" bottom="0.82" header="0.2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N31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31" sqref="D31"/>
    </sheetView>
  </sheetViews>
  <sheetFormatPr defaultColWidth="9.00390625" defaultRowHeight="12.75"/>
  <cols>
    <col min="1" max="1" width="5.625" style="76" customWidth="1"/>
    <col min="2" max="2" width="26.125" style="76" customWidth="1"/>
    <col min="3" max="3" width="10.00390625" style="76" customWidth="1"/>
    <col min="4" max="4" width="8.625" style="76" customWidth="1"/>
    <col min="5" max="5" width="12.75390625" style="76" customWidth="1"/>
    <col min="6" max="6" width="11.625" style="76" bestFit="1" customWidth="1"/>
    <col min="7" max="7" width="11.75390625" style="76" customWidth="1"/>
    <col min="8" max="8" width="11.625" style="76" bestFit="1" customWidth="1"/>
    <col min="9" max="9" width="11.625" style="76" hidden="1" customWidth="1"/>
    <col min="10" max="10" width="9.25390625" style="76" customWidth="1"/>
    <col min="11" max="11" width="10.75390625" style="76" customWidth="1"/>
    <col min="12" max="12" width="6.25390625" style="76" bestFit="1" customWidth="1"/>
    <col min="13" max="13" width="13.375" style="76" customWidth="1"/>
    <col min="14" max="16384" width="9.125" style="76" customWidth="1"/>
  </cols>
  <sheetData>
    <row r="1" ht="5.25" customHeight="1"/>
    <row r="2" spans="1:14" ht="16.5" customHeight="1">
      <c r="A2" s="60" t="s">
        <v>132</v>
      </c>
      <c r="D2" s="160"/>
      <c r="E2" s="160"/>
      <c r="F2" s="160"/>
      <c r="G2" s="160"/>
      <c r="H2" s="160"/>
      <c r="I2" s="160"/>
      <c r="J2" s="160"/>
      <c r="K2" s="144" t="str">
        <f>Исх!C11</f>
        <v>тыс.тг.</v>
      </c>
      <c r="N2" s="254"/>
    </row>
    <row r="3" spans="1:11" ht="8.2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42" customHeight="1">
      <c r="A4" s="255" t="s">
        <v>31</v>
      </c>
      <c r="B4" s="213" t="s">
        <v>32</v>
      </c>
      <c r="C4" s="213" t="s">
        <v>33</v>
      </c>
      <c r="D4" s="146" t="s">
        <v>87</v>
      </c>
      <c r="E4" s="146" t="s">
        <v>88</v>
      </c>
      <c r="F4" s="146" t="s">
        <v>41</v>
      </c>
      <c r="G4" s="146" t="s">
        <v>42</v>
      </c>
      <c r="H4" s="146" t="s">
        <v>43</v>
      </c>
      <c r="I4" s="146" t="s">
        <v>44</v>
      </c>
      <c r="J4" s="146" t="s">
        <v>45</v>
      </c>
      <c r="K4" s="146" t="s">
        <v>40</v>
      </c>
    </row>
    <row r="5" spans="1:11" s="60" customFormat="1" ht="25.5">
      <c r="A5" s="140"/>
      <c r="B5" s="147" t="s">
        <v>86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79">
        <v>1</v>
      </c>
      <c r="B6" s="79" t="s">
        <v>177</v>
      </c>
      <c r="C6" s="79">
        <v>1</v>
      </c>
      <c r="D6" s="142">
        <v>18.66</v>
      </c>
      <c r="E6" s="148">
        <f>C6*D6</f>
        <v>18.66</v>
      </c>
      <c r="F6" s="148">
        <f>E6*$C$26</f>
        <v>1.866</v>
      </c>
      <c r="G6" s="148">
        <f>(E6-$C$30*C6-F6)*$C$28</f>
        <v>-0.18660000000000002</v>
      </c>
      <c r="H6" s="148">
        <f>(E6-F6)*$C$27</f>
        <v>0.8397000000000001</v>
      </c>
      <c r="I6" s="148">
        <f>((E6-F6)*$C$29-H6)*0</f>
        <v>0</v>
      </c>
      <c r="J6" s="148">
        <f>E6-F6-G6</f>
        <v>16.9806</v>
      </c>
      <c r="K6" s="149">
        <f>SUM(F6:J6)</f>
        <v>19.499699999999997</v>
      </c>
    </row>
    <row r="7" spans="1:11" ht="12.75" hidden="1">
      <c r="A7" s="79"/>
      <c r="B7" s="79"/>
      <c r="C7" s="79"/>
      <c r="D7" s="142"/>
      <c r="E7" s="148">
        <f>C7*D7</f>
        <v>0</v>
      </c>
      <c r="F7" s="148">
        <f>E7*$C$26</f>
        <v>0</v>
      </c>
      <c r="G7" s="148">
        <f>(E7-$C$30*C7-F7)*$C$28</f>
        <v>0</v>
      </c>
      <c r="H7" s="148">
        <f>(E7-F7)*$C$27</f>
        <v>0</v>
      </c>
      <c r="I7" s="148">
        <f>(E7-F7)*$C$29-H7</f>
        <v>0</v>
      </c>
      <c r="J7" s="148">
        <f>E7-F7-G7</f>
        <v>0</v>
      </c>
      <c r="K7" s="149">
        <f>SUM(F7:J7)</f>
        <v>0</v>
      </c>
    </row>
    <row r="8" spans="1:11" s="60" customFormat="1" ht="12.75">
      <c r="A8" s="150"/>
      <c r="B8" s="150" t="s">
        <v>0</v>
      </c>
      <c r="C8" s="31">
        <f aca="true" t="shared" si="0" ref="C8:K8">SUM(C6:C7)</f>
        <v>1</v>
      </c>
      <c r="D8" s="31">
        <f t="shared" si="0"/>
        <v>18.66</v>
      </c>
      <c r="E8" s="31">
        <f t="shared" si="0"/>
        <v>18.66</v>
      </c>
      <c r="F8" s="31">
        <f t="shared" si="0"/>
        <v>1.866</v>
      </c>
      <c r="G8" s="31">
        <f t="shared" si="0"/>
        <v>-0.18660000000000002</v>
      </c>
      <c r="H8" s="31">
        <f t="shared" si="0"/>
        <v>0.8397000000000001</v>
      </c>
      <c r="I8" s="31">
        <f t="shared" si="0"/>
        <v>0</v>
      </c>
      <c r="J8" s="31">
        <f t="shared" si="0"/>
        <v>16.9806</v>
      </c>
      <c r="K8" s="31">
        <f t="shared" si="0"/>
        <v>19.499699999999997</v>
      </c>
    </row>
    <row r="9" spans="1:12" s="60" customFormat="1" ht="12.75">
      <c r="A9" s="140"/>
      <c r="B9" s="140" t="s">
        <v>91</v>
      </c>
      <c r="C9" s="140"/>
      <c r="D9" s="141"/>
      <c r="E9" s="141"/>
      <c r="F9" s="141"/>
      <c r="G9" s="141"/>
      <c r="H9" s="141"/>
      <c r="I9" s="141"/>
      <c r="J9" s="141"/>
      <c r="K9" s="141"/>
      <c r="L9" s="76" t="s">
        <v>301</v>
      </c>
    </row>
    <row r="10" spans="1:11" ht="12.75">
      <c r="A10" s="79">
        <v>1</v>
      </c>
      <c r="B10" s="79" t="s">
        <v>298</v>
      </c>
      <c r="C10" s="148"/>
      <c r="D10" s="142"/>
      <c r="E10" s="148">
        <f>C10*D10</f>
        <v>0</v>
      </c>
      <c r="F10" s="148">
        <f>E10*$C$26</f>
        <v>0</v>
      </c>
      <c r="G10" s="148">
        <f>(E10-$C$30*C10-F10)*$C$28</f>
        <v>0</v>
      </c>
      <c r="H10" s="148">
        <f>(E10-F10)*$C$27</f>
        <v>0</v>
      </c>
      <c r="I10" s="148">
        <f>(E10-F10)*$C$29-H10</f>
        <v>0</v>
      </c>
      <c r="J10" s="148">
        <f>E10-F10-G10</f>
        <v>0</v>
      </c>
      <c r="K10" s="149">
        <f>SUM(F10:J10)</f>
        <v>0</v>
      </c>
    </row>
    <row r="11" spans="1:11" ht="12.75">
      <c r="A11" s="79">
        <v>2</v>
      </c>
      <c r="B11" s="79" t="s">
        <v>299</v>
      </c>
      <c r="C11" s="148"/>
      <c r="D11" s="142"/>
      <c r="E11" s="148">
        <f>C11*D11</f>
        <v>0</v>
      </c>
      <c r="F11" s="148">
        <f>E11*$C$26</f>
        <v>0</v>
      </c>
      <c r="G11" s="148">
        <f>(E11-$C$30*C11-F11)*$C$28</f>
        <v>0</v>
      </c>
      <c r="H11" s="148">
        <f>(E11-F11)*$C$27</f>
        <v>0</v>
      </c>
      <c r="I11" s="148">
        <f>(E11-F11)*$C$29-H11</f>
        <v>0</v>
      </c>
      <c r="J11" s="148">
        <f>E11-F11-G11</f>
        <v>0</v>
      </c>
      <c r="K11" s="149">
        <f>SUM(F11:J11)</f>
        <v>0</v>
      </c>
    </row>
    <row r="12" spans="1:11" ht="12.75">
      <c r="A12" s="79">
        <v>3</v>
      </c>
      <c r="B12" s="79" t="s">
        <v>300</v>
      </c>
      <c r="C12" s="148"/>
      <c r="D12" s="142"/>
      <c r="E12" s="148">
        <f>C12*D12</f>
        <v>0</v>
      </c>
      <c r="F12" s="148">
        <f>E12*$C$26</f>
        <v>0</v>
      </c>
      <c r="G12" s="148">
        <f>(E12-$C$30*C12-F12)*$C$28</f>
        <v>0</v>
      </c>
      <c r="H12" s="148">
        <f>(E12-F12)*$C$27</f>
        <v>0</v>
      </c>
      <c r="I12" s="148">
        <f>(E12-F12)*$C$29-H12</f>
        <v>0</v>
      </c>
      <c r="J12" s="148">
        <f>E12-F12-G12</f>
        <v>0</v>
      </c>
      <c r="K12" s="149">
        <f>SUM(F12:J12)</f>
        <v>0</v>
      </c>
    </row>
    <row r="13" spans="1:11" s="60" customFormat="1" ht="12.75">
      <c r="A13" s="150"/>
      <c r="B13" s="151" t="s">
        <v>0</v>
      </c>
      <c r="C13" s="150">
        <f aca="true" t="shared" si="1" ref="C13:K13">SUM(C9:C12)</f>
        <v>0</v>
      </c>
      <c r="D13" s="149">
        <f t="shared" si="1"/>
        <v>0</v>
      </c>
      <c r="E13" s="149">
        <f t="shared" si="1"/>
        <v>0</v>
      </c>
      <c r="F13" s="149">
        <f t="shared" si="1"/>
        <v>0</v>
      </c>
      <c r="G13" s="149">
        <f t="shared" si="1"/>
        <v>0</v>
      </c>
      <c r="H13" s="149">
        <f t="shared" si="1"/>
        <v>0</v>
      </c>
      <c r="I13" s="149">
        <f t="shared" si="1"/>
        <v>0</v>
      </c>
      <c r="J13" s="149">
        <f t="shared" si="1"/>
        <v>0</v>
      </c>
      <c r="K13" s="149">
        <f t="shared" si="1"/>
        <v>0</v>
      </c>
    </row>
    <row r="14" spans="1:11" s="60" customFormat="1" ht="12.75" hidden="1">
      <c r="A14" s="140"/>
      <c r="B14" s="140" t="s">
        <v>92</v>
      </c>
      <c r="C14" s="140"/>
      <c r="D14" s="141"/>
      <c r="E14" s="141"/>
      <c r="F14" s="141"/>
      <c r="G14" s="141"/>
      <c r="H14" s="141"/>
      <c r="I14" s="141"/>
      <c r="J14" s="141"/>
      <c r="K14" s="141"/>
    </row>
    <row r="15" spans="1:14" ht="12.75" hidden="1">
      <c r="A15" s="79"/>
      <c r="B15" s="79"/>
      <c r="C15" s="79"/>
      <c r="D15" s="142"/>
      <c r="E15" s="148">
        <f>C15*D15</f>
        <v>0</v>
      </c>
      <c r="F15" s="148">
        <f>E15*$C$26</f>
        <v>0</v>
      </c>
      <c r="G15" s="148">
        <f>(E15-$C$30*C15-F15)*$C$28</f>
        <v>0</v>
      </c>
      <c r="H15" s="148">
        <f>(E15-F15)*$C$27</f>
        <v>0</v>
      </c>
      <c r="I15" s="148">
        <f>(E15-F15)*$C$29-H15</f>
        <v>0</v>
      </c>
      <c r="J15" s="148">
        <f>E15-F15-G15</f>
        <v>0</v>
      </c>
      <c r="K15" s="149">
        <f>SUM(F15:J15)</f>
        <v>0</v>
      </c>
      <c r="L15" s="267"/>
      <c r="N15" s="271"/>
    </row>
    <row r="16" spans="1:12" ht="12.75" hidden="1">
      <c r="A16" s="79"/>
      <c r="B16" s="79"/>
      <c r="C16" s="79"/>
      <c r="D16" s="142"/>
      <c r="E16" s="148">
        <f>C16*D16</f>
        <v>0</v>
      </c>
      <c r="F16" s="148">
        <f>E16*$C$26</f>
        <v>0</v>
      </c>
      <c r="G16" s="148">
        <f>(E16-$C$30*C16-F16)*$C$28</f>
        <v>0</v>
      </c>
      <c r="H16" s="148">
        <f>(E16-F16)*$C$27</f>
        <v>0</v>
      </c>
      <c r="I16" s="148">
        <f>(E16-F16)*$C$29-H16</f>
        <v>0</v>
      </c>
      <c r="J16" s="148">
        <f>E16-F16-G16</f>
        <v>0</v>
      </c>
      <c r="K16" s="149">
        <f>SUM(F16:J16)</f>
        <v>0</v>
      </c>
      <c r="L16" s="267"/>
    </row>
    <row r="17" spans="1:11" s="60" customFormat="1" ht="12.75" hidden="1">
      <c r="A17" s="150"/>
      <c r="B17" s="151" t="s">
        <v>0</v>
      </c>
      <c r="C17" s="150">
        <f aca="true" t="shared" si="2" ref="C17:K17">SUM(C15:C16)</f>
        <v>0</v>
      </c>
      <c r="D17" s="149">
        <f t="shared" si="2"/>
        <v>0</v>
      </c>
      <c r="E17" s="149">
        <f t="shared" si="2"/>
        <v>0</v>
      </c>
      <c r="F17" s="149">
        <f t="shared" si="2"/>
        <v>0</v>
      </c>
      <c r="G17" s="149">
        <f t="shared" si="2"/>
        <v>0</v>
      </c>
      <c r="H17" s="149">
        <f t="shared" si="2"/>
        <v>0</v>
      </c>
      <c r="I17" s="149">
        <f t="shared" si="2"/>
        <v>0</v>
      </c>
      <c r="J17" s="149">
        <f t="shared" si="2"/>
        <v>0</v>
      </c>
      <c r="K17" s="149">
        <f t="shared" si="2"/>
        <v>0</v>
      </c>
    </row>
    <row r="18" spans="1:11" s="60" customFormat="1" ht="12.75" hidden="1">
      <c r="A18" s="140"/>
      <c r="B18" s="140" t="s">
        <v>99</v>
      </c>
      <c r="C18" s="140"/>
      <c r="D18" s="141"/>
      <c r="E18" s="141"/>
      <c r="F18" s="141"/>
      <c r="G18" s="141"/>
      <c r="H18" s="141"/>
      <c r="I18" s="141"/>
      <c r="J18" s="141"/>
      <c r="K18" s="141"/>
    </row>
    <row r="19" spans="1:13" ht="12.75" hidden="1">
      <c r="A19" s="79"/>
      <c r="B19" s="79"/>
      <c r="C19" s="79"/>
      <c r="D19" s="142"/>
      <c r="E19" s="148">
        <f>C19*D19</f>
        <v>0</v>
      </c>
      <c r="F19" s="148">
        <f>E19*$C$26</f>
        <v>0</v>
      </c>
      <c r="G19" s="148">
        <f>(E19-$C$30*C19-F19)*$C$28</f>
        <v>0</v>
      </c>
      <c r="H19" s="148">
        <f>(E19-F19)*$C$27</f>
        <v>0</v>
      </c>
      <c r="I19" s="148">
        <f>(E19-F19)*$C$29-H19</f>
        <v>0</v>
      </c>
      <c r="J19" s="148">
        <f>E19-F19-G19</f>
        <v>0</v>
      </c>
      <c r="K19" s="149">
        <f>SUM(F19:J19)</f>
        <v>0</v>
      </c>
      <c r="M19" s="152"/>
    </row>
    <row r="20" spans="1:11" ht="12.75" hidden="1">
      <c r="A20" s="79"/>
      <c r="B20" s="79"/>
      <c r="C20" s="79"/>
      <c r="D20" s="142"/>
      <c r="E20" s="148">
        <f>C20*D20</f>
        <v>0</v>
      </c>
      <c r="F20" s="148">
        <f>E20*$C$26</f>
        <v>0</v>
      </c>
      <c r="G20" s="148">
        <f>(E20-$C$30*C20-F20)*$C$28</f>
        <v>0</v>
      </c>
      <c r="H20" s="148">
        <f>(E20-F20)*$C$27</f>
        <v>0</v>
      </c>
      <c r="I20" s="148">
        <f>(E20-F20)*$C$29-H20</f>
        <v>0</v>
      </c>
      <c r="J20" s="148">
        <f>E20-F20-G20</f>
        <v>0</v>
      </c>
      <c r="K20" s="149">
        <f>SUM(F20:J20)</f>
        <v>0</v>
      </c>
    </row>
    <row r="21" spans="1:11" ht="12.75" hidden="1">
      <c r="A21" s="79"/>
      <c r="B21" s="79"/>
      <c r="C21" s="79"/>
      <c r="D21" s="142"/>
      <c r="E21" s="148">
        <f>C21*D21</f>
        <v>0</v>
      </c>
      <c r="F21" s="148">
        <f>E21*$C$26</f>
        <v>0</v>
      </c>
      <c r="G21" s="148">
        <f>(E21-$C$30*C21-F21)*$C$28</f>
        <v>0</v>
      </c>
      <c r="H21" s="148">
        <f>(E21-F21)*$C$27</f>
        <v>0</v>
      </c>
      <c r="I21" s="148">
        <f>(E21-F21)*$C$29-H21</f>
        <v>0</v>
      </c>
      <c r="J21" s="148">
        <f>E21-F21-G21</f>
        <v>0</v>
      </c>
      <c r="K21" s="149">
        <f>SUM(F21:J21)</f>
        <v>0</v>
      </c>
    </row>
    <row r="22" spans="1:11" s="60" customFormat="1" ht="12.75" hidden="1">
      <c r="A22" s="150"/>
      <c r="B22" s="151" t="s">
        <v>0</v>
      </c>
      <c r="C22" s="150">
        <f aca="true" t="shared" si="3" ref="C22:K22">SUM(C19:C21)</f>
        <v>0</v>
      </c>
      <c r="D22" s="150">
        <f t="shared" si="3"/>
        <v>0</v>
      </c>
      <c r="E22" s="150">
        <f t="shared" si="3"/>
        <v>0</v>
      </c>
      <c r="F22" s="150">
        <f t="shared" si="3"/>
        <v>0</v>
      </c>
      <c r="G22" s="149">
        <f t="shared" si="3"/>
        <v>0</v>
      </c>
      <c r="H22" s="149">
        <f t="shared" si="3"/>
        <v>0</v>
      </c>
      <c r="I22" s="149">
        <f t="shared" si="3"/>
        <v>0</v>
      </c>
      <c r="J22" s="149">
        <f t="shared" si="3"/>
        <v>0</v>
      </c>
      <c r="K22" s="149">
        <f t="shared" si="3"/>
        <v>0</v>
      </c>
    </row>
    <row r="23" spans="1:11" ht="12.75" hidden="1">
      <c r="A23" s="79"/>
      <c r="B23" s="79"/>
      <c r="C23" s="79"/>
      <c r="D23" s="148"/>
      <c r="E23" s="148"/>
      <c r="F23" s="148"/>
      <c r="G23" s="148"/>
      <c r="H23" s="148"/>
      <c r="I23" s="148"/>
      <c r="J23" s="148"/>
      <c r="K23" s="148"/>
    </row>
    <row r="24" spans="1:14" s="60" customFormat="1" ht="12.75">
      <c r="A24" s="150"/>
      <c r="B24" s="150" t="s">
        <v>100</v>
      </c>
      <c r="C24" s="149">
        <f aca="true" t="shared" si="4" ref="C24:K24">C8+C13+C17+C22</f>
        <v>1</v>
      </c>
      <c r="D24" s="149">
        <f t="shared" si="4"/>
        <v>18.66</v>
      </c>
      <c r="E24" s="149">
        <f t="shared" si="4"/>
        <v>18.66</v>
      </c>
      <c r="F24" s="149">
        <f t="shared" si="4"/>
        <v>1.866</v>
      </c>
      <c r="G24" s="149">
        <f t="shared" si="4"/>
        <v>-0.18660000000000002</v>
      </c>
      <c r="H24" s="149">
        <f t="shared" si="4"/>
        <v>0.8397000000000001</v>
      </c>
      <c r="I24" s="149">
        <f t="shared" si="4"/>
        <v>0</v>
      </c>
      <c r="J24" s="149">
        <f t="shared" si="4"/>
        <v>16.9806</v>
      </c>
      <c r="K24" s="153">
        <f t="shared" si="4"/>
        <v>19.499699999999997</v>
      </c>
      <c r="N24" s="194"/>
    </row>
    <row r="26" spans="2:10" ht="12.75">
      <c r="B26" s="79" t="s">
        <v>41</v>
      </c>
      <c r="C26" s="154">
        <f>Исх!C13</f>
        <v>0.1</v>
      </c>
      <c r="D26" s="155"/>
      <c r="E26" s="155"/>
      <c r="F26" s="155"/>
      <c r="G26" s="342"/>
      <c r="H26" s="342"/>
      <c r="I26" s="342"/>
      <c r="J26" s="342"/>
    </row>
    <row r="27" spans="2:10" ht="12.75">
      <c r="B27" s="79" t="s">
        <v>46</v>
      </c>
      <c r="C27" s="154">
        <f>Исх!C14</f>
        <v>0.05</v>
      </c>
      <c r="D27" s="155"/>
      <c r="E27" s="155"/>
      <c r="F27" s="155"/>
      <c r="G27" s="155"/>
      <c r="H27" s="155"/>
      <c r="I27" s="156"/>
      <c r="J27" s="157"/>
    </row>
    <row r="28" spans="2:10" ht="12.75">
      <c r="B28" s="79" t="s">
        <v>42</v>
      </c>
      <c r="C28" s="154">
        <f>Исх!C15</f>
        <v>0.1</v>
      </c>
      <c r="D28" s="155"/>
      <c r="E28" s="155"/>
      <c r="F28" s="155"/>
      <c r="G28" s="155"/>
      <c r="H28" s="155"/>
      <c r="I28" s="156"/>
      <c r="J28" s="157"/>
    </row>
    <row r="29" spans="2:10" ht="12.75">
      <c r="B29" s="79" t="s">
        <v>44</v>
      </c>
      <c r="C29" s="154">
        <f>Исх!C16</f>
        <v>0</v>
      </c>
      <c r="D29" s="158"/>
      <c r="E29" s="158"/>
      <c r="F29" s="155"/>
      <c r="G29" s="155"/>
      <c r="H29" s="155"/>
      <c r="I29" s="156"/>
      <c r="J29" s="157"/>
    </row>
    <row r="30" spans="2:3" ht="12.75">
      <c r="B30" s="79" t="s">
        <v>104</v>
      </c>
      <c r="C30" s="159">
        <f>Исх!C17</f>
        <v>18.66</v>
      </c>
    </row>
    <row r="31" spans="7:10" ht="12.75">
      <c r="G31" s="155"/>
      <c r="H31" s="155"/>
      <c r="I31" s="156"/>
      <c r="J31" s="157"/>
    </row>
  </sheetData>
  <sheetProtection/>
  <mergeCells count="1">
    <mergeCell ref="G26:J26"/>
  </mergeCells>
  <printOptions/>
  <pageMargins left="0.2755905511811024" right="0.2" top="0.77" bottom="0.35433070866141736" header="0.2362204724409449" footer="0.275590551181102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2013-08-09T11:38:46Z</cp:lastPrinted>
  <dcterms:created xsi:type="dcterms:W3CDTF">2006-03-01T15:11:19Z</dcterms:created>
  <dcterms:modified xsi:type="dcterms:W3CDTF">2013-09-24T08:04:29Z</dcterms:modified>
  <cp:category/>
  <cp:version/>
  <cp:contentType/>
  <cp:contentStatus/>
</cp:coreProperties>
</file>