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5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5" windowWidth="12390" windowHeight="8445" tabRatio="633" firstSheet="1" activeTab="12"/>
  </bookViews>
  <sheets>
    <sheet name="1-Ф3" sheetId="28" r:id="rId1"/>
    <sheet name="2-ф2" sheetId="8" r:id="rId2"/>
    <sheet name="3-Баланс" sheetId="67" r:id="rId3"/>
    <sheet name="Исх" sheetId="53" r:id="rId4"/>
    <sheet name="Дох" sheetId="62" r:id="rId5"/>
    <sheet name="Расх перем" sheetId="63" r:id="rId6"/>
    <sheet name="Производство" sheetId="69" r:id="rId7"/>
    <sheet name="ФОТ" sheetId="65" r:id="rId8"/>
    <sheet name="Пост" sheetId="66" r:id="rId9"/>
    <sheet name="кр" sheetId="64" r:id="rId10"/>
    <sheet name="Инв" sheetId="59" r:id="rId11"/>
    <sheet name="безубыт" sheetId="61" r:id="rId12"/>
    <sheet name="для текста" sheetId="3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</externalReferences>
  <definedNames>
    <definedName name="__kpn1">[1]Главн!$D$46</definedName>
    <definedName name="__kpn2">[1]Главн!$E$46</definedName>
    <definedName name="__kpn3">[1]Главн!$F$46</definedName>
    <definedName name="__kpn4">[1]Главн!$G$46</definedName>
    <definedName name="__kpn5">[1]Главн!$H$46</definedName>
    <definedName name="__kpn6">[1]Главн!$I$46</definedName>
    <definedName name="__kpn7">[1]Главн!$J$46</definedName>
    <definedName name="__kpn8">[1]Главн!$K$46</definedName>
    <definedName name="__nds1">[1]Главн!$D$42</definedName>
    <definedName name="__nds2">[1]Главн!$E$42</definedName>
    <definedName name="__nds3">[1]Главн!$F$42</definedName>
    <definedName name="__nds4">[1]Главн!$G$42</definedName>
    <definedName name="__nds5">[1]Главн!$H$42</definedName>
    <definedName name="__nds6">[1]Главн!$I$42</definedName>
    <definedName name="_kpn1" localSheetId="2">[2]Главн!$D$46</definedName>
    <definedName name="_kpn1" localSheetId="9">[3]Главн!$D$46</definedName>
    <definedName name="_kpn1" localSheetId="6">#REF!</definedName>
    <definedName name="_kpn1">[4]Главн!$D$46</definedName>
    <definedName name="_kpn2" localSheetId="2">[2]Главн!$E$46</definedName>
    <definedName name="_kpn2" localSheetId="9">[3]Главн!$E$46</definedName>
    <definedName name="_kpn2" localSheetId="6">#REF!</definedName>
    <definedName name="_kpn2">[4]Главн!$E$46</definedName>
    <definedName name="_kpn3" localSheetId="2">[2]Главн!$F$46</definedName>
    <definedName name="_kpn3" localSheetId="9">[3]Главн!$F$46</definedName>
    <definedName name="_kpn3" localSheetId="6">#REF!</definedName>
    <definedName name="_kpn3">[4]Главн!$F$46</definedName>
    <definedName name="_kpn4" localSheetId="2">[2]Главн!$G$46</definedName>
    <definedName name="_kpn4" localSheetId="9">[3]Главн!$G$46</definedName>
    <definedName name="_kpn4" localSheetId="6">#REF!</definedName>
    <definedName name="_kpn4">[4]Главн!$G$46</definedName>
    <definedName name="_kpn5" localSheetId="2">[2]Главн!$H$46</definedName>
    <definedName name="_kpn5" localSheetId="9">[3]Главн!$H$46</definedName>
    <definedName name="_kpn5" localSheetId="6">#REF!</definedName>
    <definedName name="_kpn5">[4]Главн!$H$46</definedName>
    <definedName name="_kpn6" localSheetId="2">[2]Главн!$I$46</definedName>
    <definedName name="_kpn6" localSheetId="9">[3]Главн!$I$46</definedName>
    <definedName name="_kpn6" localSheetId="6">#REF!</definedName>
    <definedName name="_kpn6">[4]Главн!$I$46</definedName>
    <definedName name="_kpn7" localSheetId="2">[2]Главн!$J$46</definedName>
    <definedName name="_kpn7" localSheetId="9">[3]Главн!$J$46</definedName>
    <definedName name="_kpn7" localSheetId="6">#REF!</definedName>
    <definedName name="_kpn7">[4]Главн!$J$46</definedName>
    <definedName name="_kpn8" localSheetId="2">[2]Главн!$K$46</definedName>
    <definedName name="_kpn8" localSheetId="9">[3]Главн!$K$46</definedName>
    <definedName name="_kpn8" localSheetId="6">#REF!</definedName>
    <definedName name="_kpn8">[4]Главн!$K$46</definedName>
    <definedName name="_nds1" localSheetId="2">[2]Главн!$D$42</definedName>
    <definedName name="_nds1" localSheetId="9">[3]Главн!$D$42</definedName>
    <definedName name="_nds1" localSheetId="6">#REF!</definedName>
    <definedName name="_nds1">[4]Главн!$D$42</definedName>
    <definedName name="_nds2" localSheetId="2">[2]Главн!$E$42</definedName>
    <definedName name="_nds2" localSheetId="9">[3]Главн!$E$42</definedName>
    <definedName name="_nds2" localSheetId="6">#REF!</definedName>
    <definedName name="_nds2">[4]Главн!$E$42</definedName>
    <definedName name="_nds3" localSheetId="2">[2]Главн!$F$42</definedName>
    <definedName name="_nds3" localSheetId="9">[3]Главн!$F$42</definedName>
    <definedName name="_nds3" localSheetId="6">#REF!</definedName>
    <definedName name="_nds3">[4]Главн!$F$42</definedName>
    <definedName name="_nds4" localSheetId="2">[2]Главн!$G$42</definedName>
    <definedName name="_nds4" localSheetId="9">[3]Главн!$G$42</definedName>
    <definedName name="_nds4" localSheetId="6">#REF!</definedName>
    <definedName name="_nds4">[4]Главн!$G$42</definedName>
    <definedName name="_nds5" localSheetId="2">[2]Главн!$H$42</definedName>
    <definedName name="_nds5" localSheetId="9">[3]Главн!$H$42</definedName>
    <definedName name="_nds5" localSheetId="6">#REF!</definedName>
    <definedName name="_nds5">[4]Главн!$H$42</definedName>
    <definedName name="_nds6" localSheetId="2">[2]Главн!$I$42</definedName>
    <definedName name="_nds6" localSheetId="9">[3]Главн!$I$42</definedName>
    <definedName name="_nds6" localSheetId="6">#REF!</definedName>
    <definedName name="_nds6">[4]Главн!$I$42</definedName>
    <definedName name="areket" localSheetId="2">#REF!</definedName>
    <definedName name="areket">#REF!</definedName>
    <definedName name="areket2" localSheetId="2">#REF!</definedName>
    <definedName name="areket2">#REF!</definedName>
    <definedName name="cfb">[5]NPV!$F$18</definedName>
    <definedName name="curr" localSheetId="2">#REF!</definedName>
    <definedName name="curr">#REF!</definedName>
    <definedName name="DcB">'[6]Дин. оборотн. ср-в!!!'!$B$17+'[6]Дин. оборотн. ср-в!!!'!$B$18+'[6]Дин. оборотн. ср-в!!!'!$B$19+'[6]Дин. оборотн. ср-в!!!'!$B$20</definedName>
    <definedName name="DcF">'[6]Дин. оборотн. ср-в!!!'!$F$17+'[6]Дин. оборотн. ср-в!!!'!$F$18+'[6]Дин. оборотн. ср-в!!!'!$F$19+'[6]Дин. оборотн. ср-в!!!'!$F$20</definedName>
    <definedName name="DF">'[6]Дин. оборотн. ср-в!!!'!$F$25+'[6]Дин. оборотн. ср-в!!!'!$F$26+'[6]Дин. оборотн. ср-в!!!'!$F$27+'[6]Дин. оборотн. ср-в!!!'!$F$28+'[6]Дин. оборотн. ср-в!!!'!$F$29+'[6]Дин. оборотн. ср-в!!!'!$F$30+'[6]Дин. оборотн. ср-в!!!'!$F$31</definedName>
    <definedName name="DG">'[6]Дин. оборотн. ср-в!!!'!$B$25+'[6]Дин. оборотн. ср-в!!!'!$B$26+'[6]Дин. оборотн. ср-в!!!'!$B$27+'[6]Дин. оборотн. ср-в!!!'!$B$28+'[6]Дин. оборотн. ср-в!!!'!$B$29+'[6]Дин. оборотн. ср-в!!!'!$B$30+'[6]Дин. оборотн. ср-в!!!'!$B$31</definedName>
    <definedName name="Ed." localSheetId="2">#REF!</definedName>
    <definedName name="Ed." localSheetId="4">#REF!</definedName>
    <definedName name="Ed." localSheetId="8">#REF!</definedName>
    <definedName name="Ed." localSheetId="6">#REF!</definedName>
    <definedName name="Ed." localSheetId="5">#REF!</definedName>
    <definedName name="Ed." localSheetId="7">#REF!</definedName>
    <definedName name="Ed.">#REF!</definedName>
    <definedName name="EUR">[7]Свод!$C$9</definedName>
    <definedName name="EURO">'[8]Осн. пара'!$C$8</definedName>
    <definedName name="imush1" localSheetId="2">[2]Главн!$D$44</definedName>
    <definedName name="imush1" localSheetId="9">[3]Главн!$D$44</definedName>
    <definedName name="imush1" localSheetId="6">#REF!</definedName>
    <definedName name="imush1">[1]Главн!$D$44</definedName>
    <definedName name="imush2" localSheetId="2">[2]Главн!$E$44</definedName>
    <definedName name="imush2" localSheetId="9">[3]Главн!$E$44</definedName>
    <definedName name="imush2" localSheetId="6">#REF!</definedName>
    <definedName name="imush2">[1]Главн!$E$44</definedName>
    <definedName name="imush3" localSheetId="2">[2]Главн!$F$44</definedName>
    <definedName name="imush3" localSheetId="9">[3]Главн!$F$44</definedName>
    <definedName name="imush3" localSheetId="6">#REF!</definedName>
    <definedName name="imush3">[1]Главн!$F$44</definedName>
    <definedName name="imush4" localSheetId="2">[2]Главн!$G$44</definedName>
    <definedName name="imush4" localSheetId="9">[3]Главн!$G$44</definedName>
    <definedName name="imush4" localSheetId="6">#REF!</definedName>
    <definedName name="imush4">[1]Главн!$G$44</definedName>
    <definedName name="imush5" localSheetId="2">[2]Главн!$H$44</definedName>
    <definedName name="imush5" localSheetId="9">[3]Главн!$H$44</definedName>
    <definedName name="imush5" localSheetId="6">#REF!</definedName>
    <definedName name="imush5">[1]Главн!$H$44</definedName>
    <definedName name="imush6" localSheetId="2">[2]Главн!$I$44</definedName>
    <definedName name="imush6" localSheetId="9">[3]Главн!$I$44</definedName>
    <definedName name="imush6" localSheetId="6">#REF!</definedName>
    <definedName name="imush6">[1]Главн!$I$44</definedName>
    <definedName name="imush7" localSheetId="2">[2]Главн!$J$44</definedName>
    <definedName name="imush7" localSheetId="9">[3]Главн!$J$44</definedName>
    <definedName name="imush7" localSheetId="6">#REF!</definedName>
    <definedName name="imush7">[1]Главн!$J$44</definedName>
    <definedName name="imush8" localSheetId="2">[2]Главн!$K$44</definedName>
    <definedName name="imush8" localSheetId="9">[3]Главн!$K$44</definedName>
    <definedName name="imush8" localSheetId="6">#REF!</definedName>
    <definedName name="imush8">[1]Главн!$K$44</definedName>
    <definedName name="inf" localSheetId="2">[2]Главн!$C$35</definedName>
    <definedName name="inf" localSheetId="9">[3]Главн!$C$35</definedName>
    <definedName name="inf" localSheetId="6">#REF!</definedName>
    <definedName name="inf">[1]Главн!$C$35</definedName>
    <definedName name="kurs" localSheetId="2">#REF!</definedName>
    <definedName name="kurs">#REF!</definedName>
    <definedName name="kurs2" localSheetId="2">[2]Главн!$C$31</definedName>
    <definedName name="kurs2" localSheetId="9">[3]Главн!$C$31</definedName>
    <definedName name="kurs2" localSheetId="6">#REF!</definedName>
    <definedName name="kurs2">[1]Главн!$C$31</definedName>
    <definedName name="lgot1" localSheetId="2">[2]Главн!$D$41</definedName>
    <definedName name="lgot1" localSheetId="9">[3]Главн!$D$41</definedName>
    <definedName name="lgot1" localSheetId="6">#REF!</definedName>
    <definedName name="lgot1">[1]Главн!$D$41</definedName>
    <definedName name="lgot2" localSheetId="2">[2]Главн!$E$41</definedName>
    <definedName name="lgot2" localSheetId="9">[3]Главн!$E$41</definedName>
    <definedName name="lgot2" localSheetId="6">#REF!</definedName>
    <definedName name="lgot2">[1]Главн!$E$41</definedName>
    <definedName name="lgot3" localSheetId="2">[2]Главн!$F$41</definedName>
    <definedName name="lgot3" localSheetId="9">[3]Главн!$F$41</definedName>
    <definedName name="lgot3" localSheetId="6">#REF!</definedName>
    <definedName name="lgot3">[1]Главн!$F$41</definedName>
    <definedName name="lgot4" localSheetId="2">[2]Главн!$G$41</definedName>
    <definedName name="lgot4" localSheetId="9">[3]Главн!$G$41</definedName>
    <definedName name="lgot4" localSheetId="6">#REF!</definedName>
    <definedName name="lgot4">[1]Главн!$G$41</definedName>
    <definedName name="lgot5" localSheetId="2">[2]Главн!$H$41</definedName>
    <definedName name="lgot5" localSheetId="9">[3]Главн!$H$41</definedName>
    <definedName name="lgot5" localSheetId="6">#REF!</definedName>
    <definedName name="lgot5">[1]Главн!$H$41</definedName>
    <definedName name="name" localSheetId="2">[2]Главн!$C$2</definedName>
    <definedName name="name" localSheetId="9">[3]Главн!$C$2</definedName>
    <definedName name="name" localSheetId="6">#REF!</definedName>
    <definedName name="name">[1]Главн!$C$2</definedName>
    <definedName name="price">[7]Свод!$C$11</definedName>
    <definedName name="remont" localSheetId="2">[2]Амортиз!$F$125</definedName>
    <definedName name="remont" localSheetId="9">[3]Амортиз!$F$125</definedName>
    <definedName name="remont" localSheetId="6">#REF!</definedName>
    <definedName name="remont">[1]Амортиз!$F$125</definedName>
    <definedName name="RUR" localSheetId="2">[7]Свод!#REF!</definedName>
    <definedName name="RUR" localSheetId="4">[7]Свод!#REF!</definedName>
    <definedName name="RUR" localSheetId="8">[7]Свод!#REF!</definedName>
    <definedName name="RUR" localSheetId="6">[7]Свод!#REF!</definedName>
    <definedName name="RUR" localSheetId="5">[7]Свод!#REF!</definedName>
    <definedName name="RUR" localSheetId="7">[7]Свод!#REF!</definedName>
    <definedName name="RUR">[7]Свод!#REF!</definedName>
    <definedName name="USD" localSheetId="9">[7]Свод!#REF!</definedName>
    <definedName name="USD">'[8]Осн. пара'!$C$4</definedName>
    <definedName name="valuta" localSheetId="2">[2]Главн!$C$21</definedName>
    <definedName name="valuta" localSheetId="9">[3]Главн!$C$21</definedName>
    <definedName name="valuta" localSheetId="6">#REF!</definedName>
    <definedName name="valuta">[1]Главн!$C$21</definedName>
    <definedName name="valuta2" localSheetId="2">[2]Главн!$C$19</definedName>
    <definedName name="valuta2" localSheetId="9">[3]Главн!$C$19</definedName>
    <definedName name="valuta2" localSheetId="6">#REF!</definedName>
    <definedName name="valuta2">[1]Главн!$C$19</definedName>
    <definedName name="Z_9D8A7FE8_EB32_11D6_AAD8_00E04C390749_.wvu.Cols" localSheetId="2" hidden="1">#REF!</definedName>
    <definedName name="Z_9D8A7FE8_EB32_11D6_AAD8_00E04C390749_.wvu.Cols" hidden="1">#REF!</definedName>
    <definedName name="АвПокуп" localSheetId="2">#REF!</definedName>
    <definedName name="АвПокуп">#REF!</definedName>
    <definedName name="АвПокуп1" localSheetId="2">#REF!</definedName>
    <definedName name="АвПокуп1">#REF!</definedName>
    <definedName name="АвПост" localSheetId="2">#REF!</definedName>
    <definedName name="АвПост">#REF!</definedName>
    <definedName name="АвПост1" localSheetId="2">#REF!</definedName>
    <definedName name="АвПост1">#REF!</definedName>
    <definedName name="адм" localSheetId="2">#REF!</definedName>
    <definedName name="адм" localSheetId="9">#REF!</definedName>
    <definedName name="адм" localSheetId="6">#REF!</definedName>
    <definedName name="адм">#REF!</definedName>
    <definedName name="арекет" localSheetId="0">#REF!</definedName>
    <definedName name="арекет" localSheetId="2">#REF!</definedName>
    <definedName name="арекет">#REF!</definedName>
    <definedName name="арекет2" localSheetId="0">#REF!</definedName>
    <definedName name="арекет2" localSheetId="2">#REF!</definedName>
    <definedName name="арекет2">#REF!</definedName>
    <definedName name="арекет3" localSheetId="0">#REF!</definedName>
    <definedName name="арекет3" localSheetId="2">#REF!</definedName>
    <definedName name="арекет3">#REF!</definedName>
    <definedName name="арэк" localSheetId="0">#REF!</definedName>
    <definedName name="арэк" localSheetId="2">#REF!</definedName>
    <definedName name="арэк">#REF!</definedName>
    <definedName name="арэк2" localSheetId="0">#REF!</definedName>
    <definedName name="арэк2" localSheetId="2">#REF!</definedName>
    <definedName name="арэк2">#REF!</definedName>
    <definedName name="арэк3" localSheetId="0">#REF!</definedName>
    <definedName name="арэк3" localSheetId="2">#REF!</definedName>
    <definedName name="арэк3">#REF!</definedName>
    <definedName name="аств" localSheetId="0">#REF!</definedName>
    <definedName name="аств" localSheetId="2">#REF!</definedName>
    <definedName name="аств">#REF!</definedName>
    <definedName name="аств2" localSheetId="0">#REF!</definedName>
    <definedName name="аств2" localSheetId="2">#REF!</definedName>
    <definedName name="аств2">#REF!</definedName>
    <definedName name="аств3" localSheetId="0">#REF!</definedName>
    <definedName name="аств3" localSheetId="2">#REF!</definedName>
    <definedName name="аств3">#REF!</definedName>
    <definedName name="атырау" localSheetId="0">#REF!</definedName>
    <definedName name="атырау" localSheetId="2">#REF!</definedName>
    <definedName name="атырау">#REF!</definedName>
    <definedName name="атырау2" localSheetId="0">#REF!</definedName>
    <definedName name="атырау2" localSheetId="2">#REF!</definedName>
    <definedName name="атырау2">#REF!</definedName>
    <definedName name="атырау3" localSheetId="0">#REF!</definedName>
    <definedName name="атырау3" localSheetId="2">#REF!</definedName>
    <definedName name="атырау3">#REF!</definedName>
    <definedName name="баланс_стоимость" localSheetId="2">'[9]объекты обществаКокшетау'!#REF!</definedName>
    <definedName name="баланс_стоимость" localSheetId="4">'[10]объекты обществаКокшетау'!#REF!</definedName>
    <definedName name="баланс_стоимость" localSheetId="9">'[11]объекты обществаКокшетау'!#REF!</definedName>
    <definedName name="баланс_стоимость" localSheetId="8">'[10]объекты обществаКокшетау'!#REF!</definedName>
    <definedName name="баланс_стоимость" localSheetId="6">#REF!</definedName>
    <definedName name="баланс_стоимость" localSheetId="5">'[10]объекты обществаКокшетау'!#REF!</definedName>
    <definedName name="баланс_стоимость" localSheetId="7">'[10]объекты обществаКокшетау'!#REF!</definedName>
    <definedName name="баланс_стоимость">'[10]объекты обществаКокшетау'!#REF!</definedName>
    <definedName name="бву">'[12]Фин. пок-ли'!$C$17</definedName>
    <definedName name="ВА1" localSheetId="2">#REF!</definedName>
    <definedName name="ВА1">#REF!</definedName>
    <definedName name="Вал" localSheetId="2">#REF!</definedName>
    <definedName name="Вал" localSheetId="9">#REF!</definedName>
    <definedName name="Вал" localSheetId="6">#REF!</definedName>
    <definedName name="Вал">#REF!</definedName>
    <definedName name="ВалП1" localSheetId="2">#REF!</definedName>
    <definedName name="ВалП1" localSheetId="4">#REF!</definedName>
    <definedName name="ВалП1" localSheetId="8">#REF!</definedName>
    <definedName name="ВалП1" localSheetId="6">#REF!</definedName>
    <definedName name="ВалП1" localSheetId="5">#REF!</definedName>
    <definedName name="ВалП1" localSheetId="7">#REF!</definedName>
    <definedName name="ВалП1">#REF!</definedName>
    <definedName name="Валюта" localSheetId="2">#REF!</definedName>
    <definedName name="Валюта">#REF!</definedName>
    <definedName name="вид_инвестиций" localSheetId="2">[2]Invest!$C$7:$C$240</definedName>
    <definedName name="вид_инвестиций" localSheetId="9">[3]Invest!$C$7:$C$240</definedName>
    <definedName name="вид_инвестиций" localSheetId="6">#REF!</definedName>
    <definedName name="вид_инвестиций">[1]Invest!$C$7:$C$240</definedName>
    <definedName name="Вита_осн">'[13]ИсхД+'!$A$2</definedName>
    <definedName name="ВК" localSheetId="2">#REF!</definedName>
    <definedName name="ВК">#REF!</definedName>
    <definedName name="ВК1" localSheetId="2">#REF!</definedName>
    <definedName name="ВК1">#REF!</definedName>
    <definedName name="ВК2" localSheetId="2">#REF!</definedName>
    <definedName name="ВК2">#REF!</definedName>
    <definedName name="ВК3" localSheetId="2">#REF!</definedName>
    <definedName name="ВК3">#REF!</definedName>
    <definedName name="вложения" localSheetId="2">'[2]Граф кап инвестиц'!$B$8:$B$12</definedName>
    <definedName name="вложения" localSheetId="9">'[3]Граф кап инвестиц'!$B$8:$B$12</definedName>
    <definedName name="вложения" localSheetId="6">#REF!</definedName>
    <definedName name="вложения">'[1]Граф кап инвестиц'!$B$8:$B$12</definedName>
    <definedName name="ВР1" localSheetId="2">#REF!</definedName>
    <definedName name="ВР1">#REF!</definedName>
    <definedName name="ВРО1" localSheetId="2">#REF!</definedName>
    <definedName name="ВРО1">#REF!</definedName>
    <definedName name="всего_долл" localSheetId="2">'[9]объекты обществаКокшетау'!#REF!</definedName>
    <definedName name="всего_долл" localSheetId="4">'[10]объекты обществаКокшетау'!#REF!</definedName>
    <definedName name="всего_долл" localSheetId="9">'[11]объекты обществаКокшетау'!#REF!</definedName>
    <definedName name="всего_долл" localSheetId="8">'[10]объекты обществаКокшетау'!#REF!</definedName>
    <definedName name="всего_долл" localSheetId="6">#REF!</definedName>
    <definedName name="всего_долл" localSheetId="5">'[10]объекты обществаКокшетау'!#REF!</definedName>
    <definedName name="всего_долл" localSheetId="7">'[10]объекты обществаКокшетау'!#REF!</definedName>
    <definedName name="всего_долл">'[10]объекты обществаКокшетау'!#REF!</definedName>
    <definedName name="газсервис" localSheetId="0">#REF!</definedName>
    <definedName name="газсервис" localSheetId="2">#REF!</definedName>
    <definedName name="газсервис">#REF!</definedName>
    <definedName name="газсервис2" localSheetId="0">#REF!</definedName>
    <definedName name="газсервис2" localSheetId="2">#REF!</definedName>
    <definedName name="газсервис2">#REF!</definedName>
    <definedName name="газсервис3" localSheetId="0">#REF!</definedName>
    <definedName name="газсервис3" localSheetId="2">#REF!</definedName>
    <definedName name="газсервис3">#REF!</definedName>
    <definedName name="год">[14]Осн.показ!$D$8</definedName>
    <definedName name="год1">[14]Осн.показ!$D$9</definedName>
    <definedName name="ГотПр" localSheetId="2">#REF!</definedName>
    <definedName name="ГотПр">#REF!</definedName>
    <definedName name="ГотПр1" localSheetId="2">#REF!</definedName>
    <definedName name="ГотПр1">#REF!</definedName>
    <definedName name="д" localSheetId="2">#REF!</definedName>
    <definedName name="д">#REF!</definedName>
    <definedName name="Дебиторская__задолженность">'[6]Дин. оборотн. ср-в!!!'!$B$25+'[6]Дин. оборотн. ср-в!!!'!$B$26+'[6]Дин. оборотн. ср-в!!!'!$B$27+'[6]Дин. оборотн. ср-в!!!'!$B$28+'[6]Дин. оборотн. ср-в!!!'!$B$29+'[6]Дин. оборотн. ср-в!!!'!$B$30+'[6]Дин. оборотн. ср-в!!!'!$B$31+'[6]Дин. оборотн. ср-в!!!'!$B$33</definedName>
    <definedName name="Дебиторская_задолженность_Ст_сть_всех_активов">'[6]Уровень показателей!!!'!$E$18/'[6]Б3!!!'!$C$58</definedName>
    <definedName name="ДЗ" localSheetId="2">#REF!</definedName>
    <definedName name="ДЗ">#REF!</definedName>
    <definedName name="ДЗ1" localSheetId="2">#REF!</definedName>
    <definedName name="ДЗ1">#REF!</definedName>
    <definedName name="дз1к">[6]Б1!$D$34+[6]Б1!$D$35+[6]Б1!$D$36+[6]Б1!$D$37+[6]Б1!$D$38+[6]Б1!$D$39</definedName>
    <definedName name="дз1н">[6]Б1!$C$34++[6]Б1!$C$35+[6]Б1!$C$36+[6]Б1!$C$37+[6]Б1!$C$38+[6]Б1!$C$39</definedName>
    <definedName name="дз94к" localSheetId="2">[6]Б1!#REF!+[6]Б1!#REF!+[6]Б1!#REF!+[6]Б1!#REF!+[6]Б1!#REF!+[6]Б1!#REF!+[6]Б1!#REF!</definedName>
    <definedName name="дз94к" localSheetId="4">[6]Б1!#REF!+[6]Б1!#REF!+[6]Б1!#REF!+[6]Б1!#REF!+[6]Б1!#REF!+[6]Б1!#REF!+[6]Б1!#REF!</definedName>
    <definedName name="дз94к" localSheetId="8">[6]Б1!#REF!+[6]Б1!#REF!+[6]Б1!#REF!+[6]Б1!#REF!+[6]Б1!#REF!+[6]Б1!#REF!+[6]Б1!#REF!</definedName>
    <definedName name="дз94к" localSheetId="6">[6]Б1!#REF!+[6]Б1!#REF!+[6]Б1!#REF!+[6]Б1!#REF!+[6]Б1!#REF!+[6]Б1!#REF!+[6]Б1!#REF!</definedName>
    <definedName name="дз94к" localSheetId="5">[6]Б1!#REF!+[6]Б1!#REF!+[6]Б1!#REF!+[6]Б1!#REF!+[6]Б1!#REF!+[6]Б1!#REF!+[6]Б1!#REF!</definedName>
    <definedName name="дз94к" localSheetId="7">[6]Б1!#REF!+[6]Б1!#REF!+[6]Б1!#REF!+[6]Б1!#REF!+[6]Б1!#REF!+[6]Б1!#REF!+[6]Б1!#REF!</definedName>
    <definedName name="дз94к">[6]Б1!#REF!+[6]Б1!#REF!+[6]Б1!#REF!+[6]Б1!#REF!+[6]Б1!#REF!+[6]Б1!#REF!+[6]Б1!#REF!</definedName>
    <definedName name="дз94н" localSheetId="2">[6]Б1!#REF!+[6]Б1!#REF!+[6]Б1!#REF!+[6]Б1!#REF!+[6]Б1!#REF!+[6]Б1!#REF!+[6]Б1!#REF!</definedName>
    <definedName name="дз94н" localSheetId="4">[6]Б1!#REF!+[6]Б1!#REF!+[6]Б1!#REF!+[6]Б1!#REF!+[6]Б1!#REF!+[6]Б1!#REF!+[6]Б1!#REF!</definedName>
    <definedName name="дз94н" localSheetId="8">[6]Б1!#REF!+[6]Б1!#REF!+[6]Б1!#REF!+[6]Б1!#REF!+[6]Б1!#REF!+[6]Б1!#REF!+[6]Б1!#REF!</definedName>
    <definedName name="дз94н" localSheetId="6">[6]Б1!#REF!+[6]Б1!#REF!+[6]Б1!#REF!+[6]Б1!#REF!+[6]Б1!#REF!+[6]Б1!#REF!+[6]Б1!#REF!</definedName>
    <definedName name="дз94н" localSheetId="5">[6]Б1!#REF!+[6]Б1!#REF!+[6]Б1!#REF!+[6]Б1!#REF!+[6]Б1!#REF!+[6]Б1!#REF!+[6]Б1!#REF!</definedName>
    <definedName name="дз94н" localSheetId="7">[6]Б1!#REF!+[6]Б1!#REF!+[6]Б1!#REF!+[6]Б1!#REF!+[6]Б1!#REF!+[6]Б1!#REF!+[6]Б1!#REF!</definedName>
    <definedName name="дз94н">[6]Б1!#REF!+[6]Б1!#REF!+[6]Б1!#REF!+[6]Б1!#REF!+[6]Б1!#REF!+[6]Б1!#REF!+[6]Б1!#REF!</definedName>
    <definedName name="ДК1" localSheetId="2">#REF!</definedName>
    <definedName name="ДК1">#REF!</definedName>
    <definedName name="дол" localSheetId="2">#REF!</definedName>
    <definedName name="дол">#REF!</definedName>
    <definedName name="долл" localSheetId="2">#REF!</definedName>
    <definedName name="долл" localSheetId="4">#REF!</definedName>
    <definedName name="долл" localSheetId="9">[15]Исх!$C$16</definedName>
    <definedName name="долл" localSheetId="8">#REF!</definedName>
    <definedName name="долл" localSheetId="6">#REF!</definedName>
    <definedName name="долл" localSheetId="5">#REF!</definedName>
    <definedName name="долл" localSheetId="7">ФОТ!#REF!</definedName>
    <definedName name="долл">#REF!</definedName>
    <definedName name="доллар" localSheetId="2">[16]Параметры!$C$18</definedName>
    <definedName name="доллар" localSheetId="9">[17]Параметры!$C$18</definedName>
    <definedName name="доллар" localSheetId="6">[18]Параметры!$C$18</definedName>
    <definedName name="доллар">[19]Параметры!$C$18</definedName>
    <definedName name="дох" localSheetId="2">#REF!</definedName>
    <definedName name="дох" localSheetId="9">#REF!</definedName>
    <definedName name="дох" localSheetId="6">#REF!</definedName>
    <definedName name="дох">#REF!</definedName>
    <definedName name="дсша" localSheetId="2">#REF!</definedName>
    <definedName name="дсша" localSheetId="4">#REF!</definedName>
    <definedName name="дсша" localSheetId="9">#REF!</definedName>
    <definedName name="дсша" localSheetId="8">#REF!</definedName>
    <definedName name="дсша" localSheetId="6">#REF!</definedName>
    <definedName name="дсша" localSheetId="5">#REF!</definedName>
    <definedName name="дсша" localSheetId="7">#REF!</definedName>
    <definedName name="дсша">#REF!</definedName>
    <definedName name="дт" localSheetId="2">'[20]пост. пар.'!$C$13</definedName>
    <definedName name="дт" localSheetId="9">'[21]пост. пар.'!$C$13</definedName>
    <definedName name="дт" localSheetId="6">#REF!</definedName>
    <definedName name="дт">'[22]пост. пар.'!$C$13</definedName>
    <definedName name="евр">[14]Осн.показ!$D$13</definedName>
    <definedName name="евро" localSheetId="2">#REF!</definedName>
    <definedName name="евро" localSheetId="12">[23]Общ_Д!$B$16</definedName>
    <definedName name="евро">#REF!</definedName>
    <definedName name="ждд" localSheetId="2">#REF!</definedName>
    <definedName name="ждд" localSheetId="9">#REF!</definedName>
    <definedName name="ждд" localSheetId="6">#REF!</definedName>
    <definedName name="ждд">#REF!</definedName>
    <definedName name="_xlnm.Print_Titles" localSheetId="1">'2-ф2'!$A:$A</definedName>
    <definedName name="_xlnm.Print_Titles" localSheetId="2">'3-Баланс'!$A:$A</definedName>
    <definedName name="_xlnm.Print_Titles" localSheetId="10">Инв!$4:$4</definedName>
    <definedName name="_xlnm.Print_Titles" localSheetId="9">кр!$A:$B</definedName>
    <definedName name="_xlnm.Print_Titles" localSheetId="6">Производство!$3:$4</definedName>
    <definedName name="_xlnm.Print_Titles" localSheetId="7">ФОТ!$4:$4</definedName>
    <definedName name="Зап" localSheetId="2">#REF!</definedName>
    <definedName name="Зап">#REF!</definedName>
    <definedName name="Зап1" localSheetId="2">#REF!</definedName>
    <definedName name="Зап1">#REF!</definedName>
    <definedName name="имя" localSheetId="2">#REF!</definedName>
    <definedName name="имя">#REF!</definedName>
    <definedName name="Инвестор1" localSheetId="2">[2]Главн!$C$8</definedName>
    <definedName name="Инвестор1" localSheetId="9">[3]Главн!$C$8</definedName>
    <definedName name="Инвестор1" localSheetId="6">#REF!</definedName>
    <definedName name="Инвестор1">[1]Главн!$C$8</definedName>
    <definedName name="Инвестор2" localSheetId="2">[2]Главн!$C$9</definedName>
    <definedName name="Инвестор2" localSheetId="9">[3]Главн!$C$9</definedName>
    <definedName name="Инвестор2" localSheetId="6">#REF!</definedName>
    <definedName name="Инвестор2">[1]Главн!$C$9</definedName>
    <definedName name="Инвестор3" localSheetId="2">[2]Главн!$C$10</definedName>
    <definedName name="Инвестор3" localSheetId="9">[3]Главн!$C$10</definedName>
    <definedName name="Инвестор3" localSheetId="6">#REF!</definedName>
    <definedName name="Инвестор3">[1]Главн!$C$10</definedName>
    <definedName name="инициатор" localSheetId="2">[2]Главн!$C$7</definedName>
    <definedName name="инициатор" localSheetId="9">[3]Главн!$C$7</definedName>
    <definedName name="инициатор" localSheetId="6">#REF!</definedName>
    <definedName name="инициатор">[1]Главн!$C$7</definedName>
    <definedName name="Инт" localSheetId="2">#REF!</definedName>
    <definedName name="Инт" localSheetId="4">#REF!</definedName>
    <definedName name="Инт" localSheetId="8">#REF!</definedName>
    <definedName name="Инт" localSheetId="6">#REF!</definedName>
    <definedName name="Инт" localSheetId="5">#REF!</definedName>
    <definedName name="Инт" localSheetId="7">#REF!</definedName>
    <definedName name="Инт">#REF!</definedName>
    <definedName name="итого_в_долл" localSheetId="2">'[9]объекты обществаКокшетау'!#REF!</definedName>
    <definedName name="итого_в_долл" localSheetId="4">'[10]объекты обществаКокшетау'!#REF!</definedName>
    <definedName name="итого_в_долл" localSheetId="9">'[11]объекты обществаКокшетау'!#REF!</definedName>
    <definedName name="итого_в_долл" localSheetId="8">'[10]объекты обществаКокшетау'!#REF!</definedName>
    <definedName name="итого_в_долл" localSheetId="6">#REF!</definedName>
    <definedName name="итого_в_долл" localSheetId="5">'[10]объекты обществаКокшетау'!#REF!</definedName>
    <definedName name="итого_в_долл" localSheetId="7">'[10]объекты обществаКокшетау'!#REF!</definedName>
    <definedName name="итого_в_долл">'[10]объекты обществаКокшетау'!#REF!</definedName>
    <definedName name="июль" localSheetId="2">#REF!</definedName>
    <definedName name="июль" localSheetId="9">#REF!</definedName>
    <definedName name="июль" localSheetId="6">#REF!</definedName>
    <definedName name="июль">#REF!</definedName>
    <definedName name="Каламкас" localSheetId="2">'[24]объекты обществаКокшетау'!#REF!</definedName>
    <definedName name="Каламкас" localSheetId="4">'[24]объекты обществаКокшетау'!#REF!</definedName>
    <definedName name="Каламкас" localSheetId="8">'[24]объекты обществаКокшетау'!#REF!</definedName>
    <definedName name="Каламкас" localSheetId="6">'[24]объекты обществаКокшетау'!#REF!</definedName>
    <definedName name="Каламкас" localSheetId="5">'[24]объекты обществаКокшетау'!#REF!</definedName>
    <definedName name="Каламкас" localSheetId="7">'[24]объекты обществаКокшетау'!#REF!</definedName>
    <definedName name="Каламкас">'[24]объекты обществаКокшетау'!#REF!</definedName>
    <definedName name="кндс" localSheetId="2">#REF!</definedName>
    <definedName name="кндс" localSheetId="4">#REF!</definedName>
    <definedName name="кндс" localSheetId="9">[14]Осн.показ!$D$15</definedName>
    <definedName name="кндс" localSheetId="8">#REF!</definedName>
    <definedName name="кндс" localSheetId="6">#REF!</definedName>
    <definedName name="кндс" localSheetId="5">#REF!</definedName>
    <definedName name="кндс" localSheetId="7">ФОТ!#REF!</definedName>
    <definedName name="кндс">#REF!</definedName>
    <definedName name="кндс1" localSheetId="2">[25]Исх!$C$8</definedName>
    <definedName name="кндс1" localSheetId="11">[26]Исх!$C$8</definedName>
    <definedName name="кндс1" localSheetId="9">[15]Исх!$C$8</definedName>
    <definedName name="кндс1">[27]Исх!$C$8</definedName>
    <definedName name="Код" localSheetId="2">#REF!</definedName>
    <definedName name="Код">#REF!</definedName>
    <definedName name="компресс" localSheetId="2">#REF!</definedName>
    <definedName name="компресс" localSheetId="4">#REF!</definedName>
    <definedName name="компресс" localSheetId="8">#REF!</definedName>
    <definedName name="компресс" localSheetId="6">#REF!</definedName>
    <definedName name="компресс" localSheetId="5">#REF!</definedName>
    <definedName name="компресс" localSheetId="7">#REF!</definedName>
    <definedName name="компресс">#REF!</definedName>
    <definedName name="кре" localSheetId="2">#REF!</definedName>
    <definedName name="кре" localSheetId="9">#REF!</definedName>
    <definedName name="кре" localSheetId="6">#REF!</definedName>
    <definedName name="кре">#REF!</definedName>
    <definedName name="Кредит_перераб" localSheetId="2">[28]Общ_Д!#REF!</definedName>
    <definedName name="Кредит_перераб" localSheetId="4">[28]Общ_Д!#REF!</definedName>
    <definedName name="Кредит_перераб" localSheetId="8">[28]Общ_Д!#REF!</definedName>
    <definedName name="Кредит_перераб" localSheetId="6">[28]Общ_Д!#REF!</definedName>
    <definedName name="Кредит_перераб" localSheetId="5">[28]Общ_Д!#REF!</definedName>
    <definedName name="Кредит_перераб" localSheetId="7">[28]Общ_Д!#REF!</definedName>
    <definedName name="Кредит_перераб">[28]Общ_Д!#REF!</definedName>
    <definedName name="Кредит_произв" localSheetId="2">[28]Общ_Д!#REF!</definedName>
    <definedName name="Кредит_произв" localSheetId="4">[28]Общ_Д!#REF!</definedName>
    <definedName name="Кредит_произв" localSheetId="8">[28]Общ_Д!#REF!</definedName>
    <definedName name="Кредит_произв" localSheetId="6">[28]Общ_Д!#REF!</definedName>
    <definedName name="Кредит_произв" localSheetId="5">[28]Общ_Д!#REF!</definedName>
    <definedName name="Кредит_произв" localSheetId="7">[28]Общ_Д!#REF!</definedName>
    <definedName name="Кредит_произв">[28]Общ_Д!#REF!</definedName>
    <definedName name="Кредит_производство" localSheetId="2">[28]Общ_Д!#REF!</definedName>
    <definedName name="Кредит_производство" localSheetId="4">[28]Общ_Д!#REF!</definedName>
    <definedName name="Кредит_производство" localSheetId="8">[28]Общ_Д!#REF!</definedName>
    <definedName name="Кредит_производство" localSheetId="6">[28]Общ_Д!#REF!</definedName>
    <definedName name="Кредит_производство" localSheetId="5">[28]Общ_Д!#REF!</definedName>
    <definedName name="Кредит_производство" localSheetId="7">[28]Общ_Д!#REF!</definedName>
    <definedName name="Кредит_производство">[28]Общ_Д!#REF!</definedName>
    <definedName name="кросс_курс">'[29]Приобретение О.С.'!$F$3</definedName>
    <definedName name="кулагер" localSheetId="0">#REF!</definedName>
    <definedName name="кулагер" localSheetId="2">#REF!</definedName>
    <definedName name="кулагер">#REF!</definedName>
    <definedName name="кулагер2" localSheetId="0">#REF!</definedName>
    <definedName name="кулагер2" localSheetId="2">#REF!</definedName>
    <definedName name="кулагер2">#REF!</definedName>
    <definedName name="кулагер3" localSheetId="0">#REF!</definedName>
    <definedName name="кулагер3" localSheetId="2">#REF!</definedName>
    <definedName name="кулагер3">#REF!</definedName>
    <definedName name="кумыскаскыр" localSheetId="0">#REF!</definedName>
    <definedName name="кумыскаскыр" localSheetId="2">#REF!</definedName>
    <definedName name="кумыскаскыр">#REF!</definedName>
    <definedName name="кумыскаскыр2" localSheetId="0">#REF!</definedName>
    <definedName name="кумыскаскыр2" localSheetId="2">#REF!</definedName>
    <definedName name="кумыскаскыр2">#REF!</definedName>
    <definedName name="кумыскаскыр3" localSheetId="0">#REF!</definedName>
    <definedName name="кумыскаскыр3" localSheetId="2">#REF!</definedName>
    <definedName name="кумыскаскыр3">#REF!</definedName>
    <definedName name="Курс" localSheetId="0">'[29]Перем. затраты'!$P$45</definedName>
    <definedName name="курс" localSheetId="2">[30]Исх!$C$5</definedName>
    <definedName name="курс" localSheetId="11">'[31]Данные,рентаб'!$C$23</definedName>
    <definedName name="Курс" localSheetId="9">'[32]Перем. затраты'!$P$45</definedName>
    <definedName name="курс" localSheetId="6">[33]Исх!#REF!</definedName>
    <definedName name="курс">Исх!#REF!</definedName>
    <definedName name="курс_доллара_сегодня" localSheetId="2">[34]константы!$A$15</definedName>
    <definedName name="курс_доллара_сегодня" localSheetId="9">[35]константы!$A$15</definedName>
    <definedName name="курс_доллара_сегодня" localSheetId="6">[36]константы!$A$15</definedName>
    <definedName name="курс_доллара_сегодня">[37]константы!$A$15</definedName>
    <definedName name="курс_НБРК" localSheetId="2">'[9]объекты обществаКокшетау'!#REF!</definedName>
    <definedName name="курс_НБРК" localSheetId="4">'[10]объекты обществаКокшетау'!#REF!</definedName>
    <definedName name="курс_НБРК" localSheetId="9">'[11]объекты обществаКокшетау'!#REF!</definedName>
    <definedName name="курс_НБРК" localSheetId="8">'[10]объекты обществаКокшетау'!#REF!</definedName>
    <definedName name="курс_НБРК" localSheetId="6">#REF!</definedName>
    <definedName name="курс_НБРК" localSheetId="5">'[10]объекты обществаКокшетау'!#REF!</definedName>
    <definedName name="курс_НБРК" localSheetId="7">'[10]объекты обществаКокшетау'!#REF!</definedName>
    <definedName name="курс_НБРК">'[10]объекты обществаКокшетау'!#REF!</definedName>
    <definedName name="Курс1" localSheetId="2">#REF!</definedName>
    <definedName name="Курс1" localSheetId="4">#REF!</definedName>
    <definedName name="Курс1" localSheetId="9">#REF!</definedName>
    <definedName name="Курс1" localSheetId="8">#REF!</definedName>
    <definedName name="Курс1" localSheetId="6">#REF!</definedName>
    <definedName name="Курс1" localSheetId="5">#REF!</definedName>
    <definedName name="Курс1" localSheetId="7">#REF!</definedName>
    <definedName name="Курс1">#REF!</definedName>
    <definedName name="Курс10" localSheetId="2">[38]Финпоки1!#REF!</definedName>
    <definedName name="Курс10" localSheetId="4">[38]Финпоки1!#REF!</definedName>
    <definedName name="Курс10" localSheetId="8">[38]Финпоки1!#REF!</definedName>
    <definedName name="Курс10" localSheetId="6">[38]Финпоки1!#REF!</definedName>
    <definedName name="Курс10" localSheetId="5">[38]Финпоки1!#REF!</definedName>
    <definedName name="Курс10" localSheetId="7">[38]Финпоки1!#REF!</definedName>
    <definedName name="Курс10">[38]Финпоки1!#REF!</definedName>
    <definedName name="курсСША" localSheetId="2">#REF!</definedName>
    <definedName name="курсСША" localSheetId="9">#REF!</definedName>
    <definedName name="курсСША" localSheetId="6">#REF!</definedName>
    <definedName name="курсСША">#REF!</definedName>
    <definedName name="мес" localSheetId="2">[39]Осн.показ!$C$10</definedName>
    <definedName name="мес" localSheetId="9">[40]Осн.показ!$C$10</definedName>
    <definedName name="мес" localSheetId="6">[18]Осн.показ!$C$10</definedName>
    <definedName name="мес">[41]Осн.показ!$C$10</definedName>
    <definedName name="мес1" localSheetId="2">[39]Осн.показ!$C$11</definedName>
    <definedName name="мес1" localSheetId="9">[40]Осн.показ!$C$11</definedName>
    <definedName name="мес1" localSheetId="6">[18]Осн.показ!$C$11</definedName>
    <definedName name="мес1">[41]Осн.показ!$C$11</definedName>
    <definedName name="металлоформы" localSheetId="2">#REF!</definedName>
    <definedName name="металлоформы" localSheetId="4">#REF!</definedName>
    <definedName name="металлоформы" localSheetId="8">#REF!</definedName>
    <definedName name="металлоформы" localSheetId="6">#REF!</definedName>
    <definedName name="металлоформы" localSheetId="5">#REF!</definedName>
    <definedName name="металлоформы" localSheetId="7">#REF!</definedName>
    <definedName name="металлоформы">#REF!</definedName>
    <definedName name="МОВ" localSheetId="2">#REF!</definedName>
    <definedName name="МОВ">#REF!</definedName>
    <definedName name="Мощность" localSheetId="2">[42]Параметры!$C$2</definedName>
    <definedName name="Мощность" localSheetId="9">[43]Параметры!$C$2</definedName>
    <definedName name="Мощность" localSheetId="6">[18]Параметры!$C$2</definedName>
    <definedName name="Мощность">[44]Параметры!$C$2</definedName>
    <definedName name="МРП">'[29]Перем. затраты'!$P$46</definedName>
    <definedName name="Название" localSheetId="2">#REF!</definedName>
    <definedName name="Название">#REF!</definedName>
    <definedName name="Наименование">'[7]План пр-ва'!$A$6</definedName>
    <definedName name="ндс" localSheetId="2">[30]Исх!$C$8</definedName>
    <definedName name="ндс" localSheetId="11">[45]Исх!$C$9</definedName>
    <definedName name="НДС" localSheetId="9">'[32]Перем. затраты'!$P$47</definedName>
    <definedName name="ндс" localSheetId="6">[18]Исх!$C$7</definedName>
    <definedName name="НДС" localSheetId="7">ФОТ!#REF!</definedName>
    <definedName name="ндс">Исх!$C$17</definedName>
    <definedName name="НДС_2003" localSheetId="12">'[32]Перем. затраты'!$P$48</definedName>
    <definedName name="НДС_2003" localSheetId="9">'[32]Перем. затраты'!$P$48</definedName>
    <definedName name="НДС_2003">'[29]Перем. затраты'!$P$48</definedName>
    <definedName name="НДС1" localSheetId="2">[25]Исх!$C$7</definedName>
    <definedName name="НДС1" localSheetId="11">[26]Исх!$C$7</definedName>
    <definedName name="НДС1" localSheetId="9">[15]Исх!$C$7</definedName>
    <definedName name="НДС1">[27]Исх!$C$7</definedName>
    <definedName name="НДС2">'[29]Перем. затраты'!$P$47</definedName>
    <definedName name="недвижКонсал" localSheetId="0">#REF!</definedName>
    <definedName name="недвижКонсал" localSheetId="2">#REF!</definedName>
    <definedName name="недвижКонсал">#REF!</definedName>
    <definedName name="недвижКонсал2" localSheetId="0">#REF!</definedName>
    <definedName name="недвижКонсал2" localSheetId="2">#REF!</definedName>
    <definedName name="недвижКонсал2">#REF!</definedName>
    <definedName name="недвижКонсал3" localSheetId="0">#REF!</definedName>
    <definedName name="недвижКонсал3" localSheetId="2">#REF!</definedName>
    <definedName name="недвижКонсал3">#REF!</definedName>
    <definedName name="НПр" localSheetId="2">#REF!</definedName>
    <definedName name="НПр">#REF!</definedName>
    <definedName name="НПр1" localSheetId="2">#REF!</definedName>
    <definedName name="НПр1">#REF!</definedName>
    <definedName name="_xlnm.Print_Area" localSheetId="0">'1-Ф3'!$A$1:$AH$36</definedName>
    <definedName name="_xlnm.Print_Area" localSheetId="1">'2-ф2'!$A$1:$AH$31</definedName>
    <definedName name="_xlnm.Print_Area" localSheetId="2">'3-Баланс'!$A$1:$AH$26</definedName>
    <definedName name="_xlnm.Print_Area" localSheetId="12">'для текста'!$A$1:$B$10</definedName>
    <definedName name="_xlnm.Print_Area" localSheetId="10">Инв!$A$1:$Q$26</definedName>
    <definedName name="_xlnm.Print_Area" localSheetId="3">Исх!$A$1:$E$39</definedName>
    <definedName name="_xlnm.Print_Area" localSheetId="9">кр!$A$1:$CO$13</definedName>
    <definedName name="_xlnm.Print_Area" localSheetId="8">Пост!$A$1:$I$32</definedName>
    <definedName name="_xlnm.Print_Area" localSheetId="6">Производство!$A$1:$L$81</definedName>
    <definedName name="_xlnm.Print_Area" localSheetId="5">'Расх перем'!$A$1:$K$29</definedName>
    <definedName name="_xlnm.Print_Area" localSheetId="7">ФОТ!$A$1:$K$36</definedName>
    <definedName name="обм" localSheetId="2">'3-Баланс'!#REF!</definedName>
    <definedName name="обм" localSheetId="11">[46]ф2!#REF!</definedName>
    <definedName name="обм" localSheetId="4">'2-ф2'!#REF!</definedName>
    <definedName name="обм" localSheetId="9">[47]ф2!#REF!</definedName>
    <definedName name="обм" localSheetId="8">'2-ф2'!#REF!</definedName>
    <definedName name="обм" localSheetId="6">[18]ф2!#REF!</definedName>
    <definedName name="обм" localSheetId="5">'2-ф2'!#REF!</definedName>
    <definedName name="обм" localSheetId="7">'2-ф2'!#REF!</definedName>
    <definedName name="обм">'2-ф2'!#REF!</definedName>
    <definedName name="оборудование_ЖД" localSheetId="2">#REF!</definedName>
    <definedName name="оборудование_ЖД" localSheetId="4">#REF!</definedName>
    <definedName name="оборудование_ЖД" localSheetId="8">#REF!</definedName>
    <definedName name="оборудование_ЖД" localSheetId="6">#REF!</definedName>
    <definedName name="оборудование_ЖД" localSheetId="5">#REF!</definedName>
    <definedName name="оборудование_ЖД" localSheetId="7">#REF!</definedName>
    <definedName name="оборудование_ЖД">#REF!</definedName>
    <definedName name="общ" localSheetId="2">#REF!</definedName>
    <definedName name="общ" localSheetId="9">#REF!</definedName>
    <definedName name="общ" localSheetId="6">#REF!</definedName>
    <definedName name="общ">#REF!</definedName>
    <definedName name="объем">'[8]Осн. пара'!$C$6</definedName>
    <definedName name="объемгод">'[8]Осн. пара'!$C$7</definedName>
    <definedName name="ОС" localSheetId="2">[39]ОС!$D$27</definedName>
    <definedName name="ОС" localSheetId="9">[40]ОС!$D$27</definedName>
    <definedName name="ОС" localSheetId="6">[18]ОС!$D$27</definedName>
    <definedName name="ОС">[41]ОС!$D$27</definedName>
    <definedName name="отрасль">[6]Б1!$B$6</definedName>
    <definedName name="пер" localSheetId="2">#REF!</definedName>
    <definedName name="пер">#REF!</definedName>
    <definedName name="ПерЗ1" localSheetId="2">#REF!</definedName>
    <definedName name="ПерЗ1">#REF!</definedName>
    <definedName name="План_производства" localSheetId="2">#REF!</definedName>
    <definedName name="План_производства">#REF!</definedName>
    <definedName name="ПМ">'[29]Перем. затраты'!$K$3</definedName>
    <definedName name="подстанция" localSheetId="2">#REF!</definedName>
    <definedName name="подстанция" localSheetId="4">#REF!</definedName>
    <definedName name="подстанция" localSheetId="8">#REF!</definedName>
    <definedName name="подстанция" localSheetId="6">#REF!</definedName>
    <definedName name="подстанция" localSheetId="5">#REF!</definedName>
    <definedName name="подстанция" localSheetId="7">#REF!</definedName>
    <definedName name="подстанция">#REF!</definedName>
    <definedName name="Показатели" localSheetId="2">[2]Главн!$C$2</definedName>
    <definedName name="Показатели" localSheetId="9">[3]Главн!$C$2</definedName>
    <definedName name="Показатели" localSheetId="6">#REF!</definedName>
    <definedName name="Показатели">[1]Главн!$C$2</definedName>
    <definedName name="пос" localSheetId="2">#REF!</definedName>
    <definedName name="пос">#REF!</definedName>
    <definedName name="ПОсД1" localSheetId="2">#REF!</definedName>
    <definedName name="ПОсД1">#REF!</definedName>
    <definedName name="пост" localSheetId="2">#REF!</definedName>
    <definedName name="пост">#REF!</definedName>
    <definedName name="ПостЗ1" localSheetId="2">#REF!</definedName>
    <definedName name="ПостЗ1">#REF!</definedName>
    <definedName name="приозернвй" localSheetId="0">#REF!</definedName>
    <definedName name="приозернвй" localSheetId="2">#REF!</definedName>
    <definedName name="приозернвй">#REF!</definedName>
    <definedName name="приозерный2" localSheetId="0">#REF!</definedName>
    <definedName name="приозерный2" localSheetId="2">#REF!</definedName>
    <definedName name="приозерный2">#REF!</definedName>
    <definedName name="приозерный3" localSheetId="0">#REF!</definedName>
    <definedName name="приозерный3" localSheetId="2">#REF!</definedName>
    <definedName name="приозерный3">#REF!</definedName>
    <definedName name="Проч" localSheetId="2">#REF!</definedName>
    <definedName name="Проч">#REF!</definedName>
    <definedName name="Проч1" localSheetId="2">#REF!</definedName>
    <definedName name="Проч1">#REF!</definedName>
    <definedName name="раб" localSheetId="2">'[48]Осн. пара'!$C$9</definedName>
    <definedName name="раб" localSheetId="9">'[49]Осн. пара'!$C$9</definedName>
    <definedName name="раб" localSheetId="6">#REF!</definedName>
    <definedName name="раб">'[50]Осн. пара'!$C$9</definedName>
    <definedName name="рас" localSheetId="2">[39]Осн.показ!$C$12</definedName>
    <definedName name="рас" localSheetId="9">[40]Осн.показ!$C$12</definedName>
    <definedName name="рас" localSheetId="6">[18]Осн.показ!$C$12</definedName>
    <definedName name="рас">[41]Осн.показ!$C$12</definedName>
    <definedName name="рбу" localSheetId="2">#REF!</definedName>
    <definedName name="рбу" localSheetId="4">#REF!</definedName>
    <definedName name="рбу" localSheetId="8">#REF!</definedName>
    <definedName name="рбу" localSheetId="6">#REF!</definedName>
    <definedName name="рбу" localSheetId="5">#REF!</definedName>
    <definedName name="рбу" localSheetId="7">#REF!</definedName>
    <definedName name="рбу">#REF!</definedName>
    <definedName name="рос" localSheetId="2">'[20]пост. пар.'!$C$8</definedName>
    <definedName name="рос" localSheetId="9">'[21]пост. пар.'!$C$8</definedName>
    <definedName name="рос" localSheetId="6">#REF!</definedName>
    <definedName name="рос">'[22]пост. пар.'!$C$8</definedName>
    <definedName name="руб" localSheetId="2">#REF!</definedName>
    <definedName name="руб" localSheetId="4">#REF!</definedName>
    <definedName name="руб" localSheetId="8">#REF!</definedName>
    <definedName name="руб" localSheetId="6">#REF!</definedName>
    <definedName name="руб" localSheetId="5">#REF!</definedName>
    <definedName name="руб" localSheetId="7">ФОТ!#REF!</definedName>
    <definedName name="руб">#REF!</definedName>
    <definedName name="себ" localSheetId="2">'3-Баланс'!#REF!</definedName>
    <definedName name="себ" localSheetId="11">[46]ф2!#REF!</definedName>
    <definedName name="себ" localSheetId="4">'2-ф2'!#REF!</definedName>
    <definedName name="себ" localSheetId="9">[47]ф2!#REF!</definedName>
    <definedName name="себ" localSheetId="8">'2-ф2'!#REF!</definedName>
    <definedName name="себ" localSheetId="6">[18]ф2!#REF!</definedName>
    <definedName name="себ" localSheetId="5">'2-ф2'!#REF!</definedName>
    <definedName name="себ" localSheetId="7">'2-ф2'!#REF!</definedName>
    <definedName name="себ">'2-ф2'!#REF!</definedName>
    <definedName name="ситиПалас" localSheetId="0">#REF!</definedName>
    <definedName name="ситиПалас" localSheetId="2">#REF!</definedName>
    <definedName name="ситиПалас">#REF!</definedName>
    <definedName name="ситиПалас2" localSheetId="0">#REF!</definedName>
    <definedName name="ситиПалас2" localSheetId="2">#REF!</definedName>
    <definedName name="ситиПалас2">#REF!</definedName>
    <definedName name="ситиПалас3" localSheetId="0">#REF!</definedName>
    <definedName name="ситиПалас3" localSheetId="2">#REF!</definedName>
    <definedName name="ситиПалас3">#REF!</definedName>
    <definedName name="склад_продукции" localSheetId="2">#REF!</definedName>
    <definedName name="склад_продукции" localSheetId="4">#REF!</definedName>
    <definedName name="склад_продукции" localSheetId="8">#REF!</definedName>
    <definedName name="склад_продукции" localSheetId="6">#REF!</definedName>
    <definedName name="склад_продукции" localSheetId="5">#REF!</definedName>
    <definedName name="склад_продукции" localSheetId="7">#REF!</definedName>
    <definedName name="склад_продукции">#REF!</definedName>
    <definedName name="склад_цем" localSheetId="2">#REF!</definedName>
    <definedName name="склад_цем" localSheetId="4">#REF!</definedName>
    <definedName name="склад_цем" localSheetId="8">#REF!</definedName>
    <definedName name="склад_цем" localSheetId="6">#REF!</definedName>
    <definedName name="склад_цем" localSheetId="5">#REF!</definedName>
    <definedName name="склад_цем" localSheetId="7">#REF!</definedName>
    <definedName name="склад_цем">#REF!</definedName>
    <definedName name="соц1" localSheetId="2">[2]Главн!$D$48</definedName>
    <definedName name="соц1" localSheetId="9">[3]Главн!$D$48</definedName>
    <definedName name="соц1" localSheetId="6">#REF!</definedName>
    <definedName name="соц1">[1]Главн!$D$48</definedName>
    <definedName name="соц2" localSheetId="2">[2]Главн!$E$48</definedName>
    <definedName name="соц2" localSheetId="9">[3]Главн!$E$48</definedName>
    <definedName name="соц2" localSheetId="6">#REF!</definedName>
    <definedName name="соц2">[1]Главн!$E$48</definedName>
    <definedName name="соц3" localSheetId="2">[2]Главн!$F$48</definedName>
    <definedName name="соц3" localSheetId="9">[3]Главн!$F$48</definedName>
    <definedName name="соц3" localSheetId="6">#REF!</definedName>
    <definedName name="соц3">[1]Главн!$F$48</definedName>
    <definedName name="соц4" localSheetId="2">[2]Главн!$G$48</definedName>
    <definedName name="соц4" localSheetId="9">[3]Главн!$G$48</definedName>
    <definedName name="соц4" localSheetId="6">#REF!</definedName>
    <definedName name="соц4">[1]Главн!$G$48</definedName>
    <definedName name="соц5" localSheetId="2">[2]Главн!$H$48</definedName>
    <definedName name="соц5" localSheetId="9">[3]Главн!$H$48</definedName>
    <definedName name="соц5" localSheetId="6">#REF!</definedName>
    <definedName name="соц5">[1]Главн!$H$48</definedName>
    <definedName name="спецодежда" localSheetId="2">#REF!</definedName>
    <definedName name="спецодежда" localSheetId="4">#REF!</definedName>
    <definedName name="спецодежда" localSheetId="8">#REF!</definedName>
    <definedName name="спецодежда" localSheetId="6">#REF!</definedName>
    <definedName name="спецодежда" localSheetId="5">#REF!</definedName>
    <definedName name="спецодежда" localSheetId="7">#REF!</definedName>
    <definedName name="спецодежда">#REF!</definedName>
    <definedName name="Срок_инвестиций1" localSheetId="2">[2]Invest!$I$7:$I$240</definedName>
    <definedName name="Срок_инвестиций1" localSheetId="9">[3]Invest!$I$7:$I$240</definedName>
    <definedName name="Срок_инвестиций1" localSheetId="6">#REF!</definedName>
    <definedName name="Срок_инвестиций1">[1]Invest!$I$7:$I$240</definedName>
    <definedName name="Срок_инвестиций2" localSheetId="2">[2]Invest!$M$7:$M$240</definedName>
    <definedName name="Срок_инвестиций2" localSheetId="9">[3]Invest!$M$7:$M$240</definedName>
    <definedName name="Срок_инвестиций2" localSheetId="6">#REF!</definedName>
    <definedName name="Срок_инвестиций2">[1]Invest!$M$7:$M$240</definedName>
    <definedName name="Срок_инвестиций3" localSheetId="2">[2]Invest!$Q$7:$Q$240</definedName>
    <definedName name="Срок_инвестиций3" localSheetId="9">[3]Invest!$Q$7:$Q$240</definedName>
    <definedName name="Срок_инвестиций3" localSheetId="6">#REF!</definedName>
    <definedName name="Срок_инвестиций3">[1]Invest!$Q$7:$Q$240</definedName>
    <definedName name="Срок_инвестиций4" localSheetId="2">[2]Invest!$U$7:$U$240</definedName>
    <definedName name="Срок_инвестиций4" localSheetId="9">[3]Invest!$U$7:$U$240</definedName>
    <definedName name="Срок_инвестиций4" localSheetId="6">#REF!</definedName>
    <definedName name="Срок_инвестиций4">[1]Invest!$U$7:$U$240</definedName>
    <definedName name="СрокПроекта" localSheetId="2">#REF!</definedName>
    <definedName name="СрокПроекта">#REF!</definedName>
    <definedName name="ст" localSheetId="2">[51]Норм!$F$9</definedName>
    <definedName name="ст" localSheetId="9">[52]Норм!$F$9</definedName>
    <definedName name="ст" localSheetId="6">#REF!</definedName>
    <definedName name="ст">[53]Норм!$F$9</definedName>
    <definedName name="СтавкаПроцента1">'[23]L-1'!$B$6</definedName>
    <definedName name="стоимость_в_долларах" localSheetId="2">'[9]объекты обществаКокшетау'!#REF!</definedName>
    <definedName name="стоимость_в_долларах" localSheetId="4">'[10]объекты обществаКокшетау'!#REF!</definedName>
    <definedName name="стоимость_в_долларах" localSheetId="9">'[11]объекты обществаКокшетау'!#REF!</definedName>
    <definedName name="стоимость_в_долларах" localSheetId="8">'[10]объекты обществаКокшетау'!#REF!</definedName>
    <definedName name="стоимость_в_долларах" localSheetId="6">#REF!</definedName>
    <definedName name="стоимость_в_долларах" localSheetId="5">'[10]объекты обществаКокшетау'!#REF!</definedName>
    <definedName name="стоимость_в_долларах" localSheetId="7">'[10]объекты обществаКокшетау'!#REF!</definedName>
    <definedName name="стоимость_в_долларах">'[10]объекты обществаКокшетау'!#REF!</definedName>
    <definedName name="Сумма_инвест1" localSheetId="2">[2]Invest!$H$7:$H$240</definedName>
    <definedName name="Сумма_инвест1" localSheetId="9">[3]Invest!$H$7:$H$240</definedName>
    <definedName name="Сумма_инвест1" localSheetId="6">#REF!</definedName>
    <definedName name="Сумма_инвест1">[1]Invest!$H$7:$H$240</definedName>
    <definedName name="Сумма_инвест2" localSheetId="2">[2]Invest!$L$7:$L$240</definedName>
    <definedName name="Сумма_инвест2" localSheetId="9">[3]Invest!$L$7:$L$240</definedName>
    <definedName name="Сумма_инвест2" localSheetId="6">#REF!</definedName>
    <definedName name="Сумма_инвест2">[1]Invest!$L$7:$L$240</definedName>
    <definedName name="Сумма_инвест3" localSheetId="2">[2]Invest!$P$7:$P$240</definedName>
    <definedName name="Сумма_инвест3" localSheetId="9">[3]Invest!$P$7:$P$240</definedName>
    <definedName name="Сумма_инвест3" localSheetId="6">#REF!</definedName>
    <definedName name="Сумма_инвест3">[1]Invest!$P$7:$P$240</definedName>
    <definedName name="Сумма_инвест4" localSheetId="2">[2]Invest!$T$7:$T$240</definedName>
    <definedName name="Сумма_инвест4" localSheetId="9">[3]Invest!$T$7:$T$240</definedName>
    <definedName name="Сумма_инвест4" localSheetId="6">#REF!</definedName>
    <definedName name="Сумма_инвест4">[1]Invest!$T$7:$T$240</definedName>
    <definedName name="СуммаКредита1">'[23]L-1'!$B$5</definedName>
    <definedName name="СчОпл" localSheetId="2">#REF!</definedName>
    <definedName name="СчОпл">#REF!</definedName>
    <definedName name="СчОпл1" localSheetId="2">#REF!</definedName>
    <definedName name="СчОпл1">#REF!</definedName>
    <definedName name="Сырье" localSheetId="2">#REF!</definedName>
    <definedName name="Сырье">#REF!</definedName>
    <definedName name="ТА1" localSheetId="2">#REF!</definedName>
    <definedName name="ТА1">#REF!</definedName>
    <definedName name="таблица_цен" localSheetId="2">[34]константы!$F$2:$G$30</definedName>
    <definedName name="таблица_цен" localSheetId="9">[35]константы!$F$2:$G$30</definedName>
    <definedName name="таблица_цен" localSheetId="6">[36]константы!$F$2:$G$30</definedName>
    <definedName name="таблица_цен">[37]константы!$F$2:$G$30</definedName>
    <definedName name="тг" localSheetId="2">#REF!</definedName>
    <definedName name="тг" localSheetId="4">#REF!</definedName>
    <definedName name="тг" localSheetId="8">#REF!</definedName>
    <definedName name="тг" localSheetId="6">#REF!</definedName>
    <definedName name="тг" localSheetId="5">#REF!</definedName>
    <definedName name="тг" localSheetId="7">ФОТ!#REF!</definedName>
    <definedName name="тг">#REF!</definedName>
    <definedName name="Тов" localSheetId="2">#REF!</definedName>
    <definedName name="Тов">#REF!</definedName>
    <definedName name="Тов1" localSheetId="2">#REF!</definedName>
    <definedName name="Тов1">#REF!</definedName>
    <definedName name="ТовРеал1" localSheetId="2">#REF!</definedName>
    <definedName name="ТовРеал1" localSheetId="4">#REF!</definedName>
    <definedName name="ТовРеал1" localSheetId="8">#REF!</definedName>
    <definedName name="ТовРеал1" localSheetId="6">#REF!</definedName>
    <definedName name="ТовРеал1" localSheetId="5">#REF!</definedName>
    <definedName name="ТовРеал1" localSheetId="7">#REF!</definedName>
    <definedName name="ТовРеал1">#REF!</definedName>
    <definedName name="убн96">'[13]Нетто3!!!'!$A$2</definedName>
    <definedName name="УК1" localSheetId="2">#REF!</definedName>
    <definedName name="УК1">#REF!</definedName>
    <definedName name="цен">[14]Осн.показ!$D$5</definedName>
    <definedName name="цен1" localSheetId="2">[39]Осн.показ!$C$6</definedName>
    <definedName name="цен1" localSheetId="9">[40]Осн.показ!$C$6</definedName>
    <definedName name="цен1" localSheetId="6">[18]Осн.показ!$C$6</definedName>
    <definedName name="цен1">[41]Осн.показ!$C$6</definedName>
    <definedName name="цена">'[8]Осн. пара'!$C$2</definedName>
    <definedName name="Цена_бобов" localSheetId="2">[28]Дох!#REF!</definedName>
    <definedName name="Цена_бобов" localSheetId="4">[28]Дох!#REF!</definedName>
    <definedName name="Цена_бобов" localSheetId="8">[28]Дох!#REF!</definedName>
    <definedName name="Цена_бобов" localSheetId="6">[28]Дох!#REF!</definedName>
    <definedName name="Цена_бобов" localSheetId="5">[28]Дох!#REF!</definedName>
    <definedName name="Цена_бобов" localSheetId="7">[28]Дох!#REF!</definedName>
    <definedName name="Цена_бобов">[28]Дох!#REF!</definedName>
    <definedName name="Цена_реал" localSheetId="2">#REF!</definedName>
    <definedName name="Цена_реал">#REF!</definedName>
    <definedName name="цена1">'[8]Осн. пара'!$C$13</definedName>
    <definedName name="цех_пби" localSheetId="2">#REF!</definedName>
    <definedName name="цех_пби" localSheetId="4">#REF!</definedName>
    <definedName name="цех_пби" localSheetId="8">#REF!</definedName>
    <definedName name="цех_пби" localSheetId="6">#REF!</definedName>
    <definedName name="цех_пби" localSheetId="5">#REF!</definedName>
    <definedName name="цех_пби" localSheetId="7">#REF!</definedName>
    <definedName name="цех_пби">#REF!</definedName>
    <definedName name="цр" localSheetId="2">#REF!</definedName>
    <definedName name="цр">#REF!</definedName>
  </definedNames>
  <calcPr calcId="125725"/>
</workbook>
</file>

<file path=xl/calcChain.xml><?xml version="1.0" encoding="utf-8"?>
<calcChain xmlns="http://schemas.openxmlformats.org/spreadsheetml/2006/main">
  <c r="C19" i="53"/>
  <c r="C16"/>
  <c r="C6" i="59" l="1"/>
  <c r="C10" i="63" l="1"/>
  <c r="C9"/>
  <c r="C8"/>
  <c r="C6"/>
  <c r="D10"/>
  <c r="D8"/>
  <c r="D7"/>
  <c r="D6"/>
  <c r="C27" i="53"/>
  <c r="B35" i="33" s="1"/>
  <c r="D14" i="63"/>
  <c r="D15"/>
  <c r="D16"/>
  <c r="D17"/>
  <c r="D13"/>
  <c r="C10" i="59"/>
  <c r="D10" s="1"/>
  <c r="F10" s="1"/>
  <c r="O78" i="69"/>
  <c r="B87"/>
  <c r="E7" i="66"/>
  <c r="F7"/>
  <c r="G7" s="1"/>
  <c r="H7" s="1"/>
  <c r="I7" s="1"/>
  <c r="D7"/>
  <c r="C15" i="63"/>
  <c r="C7"/>
  <c r="C13"/>
  <c r="D9"/>
  <c r="C16"/>
  <c r="C17"/>
  <c r="C14"/>
  <c r="C23" i="53"/>
  <c r="E14" i="28"/>
  <c r="F14"/>
  <c r="D14"/>
  <c r="A14"/>
  <c r="C24" i="63"/>
  <c r="B22"/>
  <c r="E22"/>
  <c r="C23"/>
  <c r="C75" i="69"/>
  <c r="J39" i="53"/>
  <c r="J38"/>
  <c r="E13" i="28"/>
  <c r="D13"/>
  <c r="I16" i="59"/>
  <c r="E16"/>
  <c r="F16"/>
  <c r="H16"/>
  <c r="J16"/>
  <c r="K16"/>
  <c r="L16"/>
  <c r="M16"/>
  <c r="N16"/>
  <c r="O16"/>
  <c r="P16"/>
  <c r="B18"/>
  <c r="D18" s="1"/>
  <c r="G18" s="1"/>
  <c r="Q18" s="1"/>
  <c r="B17"/>
  <c r="D17" s="1"/>
  <c r="C13"/>
  <c r="D13" s="1"/>
  <c r="C9"/>
  <c r="E15" i="65"/>
  <c r="E73" i="69"/>
  <c r="E77" s="1"/>
  <c r="D74"/>
  <c r="F4" i="63"/>
  <c r="E70" i="69"/>
  <c r="E69"/>
  <c r="E62"/>
  <c r="F62" s="1"/>
  <c r="G62" s="1"/>
  <c r="H62" s="1"/>
  <c r="I62" s="1"/>
  <c r="J62" s="1"/>
  <c r="K62" s="1"/>
  <c r="L62" s="1"/>
  <c r="D78"/>
  <c r="D79" s="1"/>
  <c r="C78"/>
  <c r="D10"/>
  <c r="D18" s="1"/>
  <c r="D26" s="1"/>
  <c r="D34" s="1"/>
  <c r="D42" s="1"/>
  <c r="D50" s="1"/>
  <c r="D58" s="1"/>
  <c r="D9"/>
  <c r="D6"/>
  <c r="E5"/>
  <c r="C26" i="53"/>
  <c r="D11" i="69" s="1"/>
  <c r="D19" s="1"/>
  <c r="D27" s="1"/>
  <c r="D35" s="1"/>
  <c r="D43" s="1"/>
  <c r="D51" s="1"/>
  <c r="D59" s="1"/>
  <c r="F3"/>
  <c r="F73" s="1"/>
  <c r="F77" s="1"/>
  <c r="G3"/>
  <c r="G73" s="1"/>
  <c r="G77" s="1"/>
  <c r="Q78"/>
  <c r="L70"/>
  <c r="K70"/>
  <c r="J70"/>
  <c r="I70"/>
  <c r="H70"/>
  <c r="G70"/>
  <c r="F70"/>
  <c r="F69"/>
  <c r="E56"/>
  <c r="F56" s="1"/>
  <c r="G56" s="1"/>
  <c r="H56" s="1"/>
  <c r="I56" s="1"/>
  <c r="J56" s="1"/>
  <c r="E48"/>
  <c r="E40"/>
  <c r="E32"/>
  <c r="A27"/>
  <c r="A35" s="1"/>
  <c r="A43" s="1"/>
  <c r="A51" s="1"/>
  <c r="A59" s="1"/>
  <c r="A26"/>
  <c r="A34" s="1"/>
  <c r="A42" s="1"/>
  <c r="A50" s="1"/>
  <c r="A58" s="1"/>
  <c r="A25"/>
  <c r="A33"/>
  <c r="A41" s="1"/>
  <c r="A49" s="1"/>
  <c r="A57" s="1"/>
  <c r="E24"/>
  <c r="F24" s="1"/>
  <c r="G24" s="1"/>
  <c r="A24"/>
  <c r="A32" s="1"/>
  <c r="A40" s="1"/>
  <c r="A48" s="1"/>
  <c r="A56" s="1"/>
  <c r="A22"/>
  <c r="A30"/>
  <c r="A38" s="1"/>
  <c r="A46" s="1"/>
  <c r="A54" s="1"/>
  <c r="A21"/>
  <c r="A29" s="1"/>
  <c r="A37" s="1"/>
  <c r="A45" s="1"/>
  <c r="A53" s="1"/>
  <c r="E16"/>
  <c r="D9" i="59"/>
  <c r="G9" s="1"/>
  <c r="C7" i="53"/>
  <c r="E16" i="65"/>
  <c r="A13" i="28"/>
  <c r="J11"/>
  <c r="K11"/>
  <c r="I11"/>
  <c r="G11"/>
  <c r="F11"/>
  <c r="E11"/>
  <c r="D11"/>
  <c r="D5" i="8"/>
  <c r="C11" i="66"/>
  <c r="C23"/>
  <c r="E13" i="65"/>
  <c r="E14"/>
  <c r="E12"/>
  <c r="E21"/>
  <c r="E20"/>
  <c r="E25"/>
  <c r="E7"/>
  <c r="B14" i="33"/>
  <c r="I30" i="28"/>
  <c r="H7" i="64" s="1"/>
  <c r="E26" i="65"/>
  <c r="E19"/>
  <c r="D11" i="66"/>
  <c r="E11"/>
  <c r="F11" s="1"/>
  <c r="G11" s="1"/>
  <c r="H11" s="1"/>
  <c r="I11" s="1"/>
  <c r="D30"/>
  <c r="E30"/>
  <c r="F30"/>
  <c r="G30"/>
  <c r="H30"/>
  <c r="I30"/>
  <c r="C30"/>
  <c r="G5" i="59"/>
  <c r="K5"/>
  <c r="J29" i="28" s="1"/>
  <c r="L5" i="59"/>
  <c r="K29" i="28" s="1"/>
  <c r="M5" i="59"/>
  <c r="M19" s="1"/>
  <c r="N5"/>
  <c r="O5"/>
  <c r="P5"/>
  <c r="O29" i="28"/>
  <c r="D15" i="59"/>
  <c r="G15" s="1"/>
  <c r="Q15" s="1"/>
  <c r="P12"/>
  <c r="O12"/>
  <c r="N12"/>
  <c r="M12"/>
  <c r="L12"/>
  <c r="K12"/>
  <c r="F12"/>
  <c r="E12"/>
  <c r="AE5" i="28"/>
  <c r="AF5" s="1"/>
  <c r="AG5" s="1"/>
  <c r="AH5" s="1"/>
  <c r="AD3" i="67"/>
  <c r="AE3" s="1"/>
  <c r="AF3" s="1"/>
  <c r="AG3" s="1"/>
  <c r="AH3" s="1"/>
  <c r="B17" i="33"/>
  <c r="B16"/>
  <c r="B13"/>
  <c r="D13" i="67"/>
  <c r="E13" s="1"/>
  <c r="F13" s="1"/>
  <c r="G13" s="1"/>
  <c r="H13" s="1"/>
  <c r="I13" s="1"/>
  <c r="J13" s="1"/>
  <c r="K13" s="1"/>
  <c r="L13" s="1"/>
  <c r="M13" s="1"/>
  <c r="N13" s="1"/>
  <c r="O13" s="1"/>
  <c r="P13" s="1"/>
  <c r="Q13" s="1"/>
  <c r="R13" s="1"/>
  <c r="S13" s="1"/>
  <c r="T13" s="1"/>
  <c r="U13" s="1"/>
  <c r="V13" s="1"/>
  <c r="W13" s="1"/>
  <c r="X13" s="1"/>
  <c r="Y13" s="1"/>
  <c r="Z13" s="1"/>
  <c r="AA13" s="1"/>
  <c r="AB13" s="1"/>
  <c r="AC13" s="1"/>
  <c r="AD13" s="1"/>
  <c r="AE13" s="1"/>
  <c r="AF13" s="1"/>
  <c r="AG13" s="1"/>
  <c r="AH13" s="1"/>
  <c r="B13" i="64"/>
  <c r="K8" i="59"/>
  <c r="L8"/>
  <c r="L19" s="1"/>
  <c r="K28" i="8" s="1"/>
  <c r="M8" i="59"/>
  <c r="N8"/>
  <c r="O8"/>
  <c r="P8"/>
  <c r="D11"/>
  <c r="F11" s="1"/>
  <c r="D7"/>
  <c r="E7" s="1"/>
  <c r="I4" i="66"/>
  <c r="AE3" i="8"/>
  <c r="AF3"/>
  <c r="Q40" i="67"/>
  <c r="R40"/>
  <c r="S40"/>
  <c r="T40"/>
  <c r="U40"/>
  <c r="V40"/>
  <c r="W40"/>
  <c r="X40"/>
  <c r="Y40"/>
  <c r="Z40"/>
  <c r="AA40"/>
  <c r="AB40"/>
  <c r="B22" i="66"/>
  <c r="C36" i="65"/>
  <c r="C33"/>
  <c r="C34"/>
  <c r="C35"/>
  <c r="C32"/>
  <c r="F12" s="1"/>
  <c r="K2"/>
  <c r="C2" i="67"/>
  <c r="B2" i="8"/>
  <c r="B4" i="28"/>
  <c r="AB34" i="67"/>
  <c r="AA34"/>
  <c r="Z34"/>
  <c r="Y34"/>
  <c r="X34"/>
  <c r="W34"/>
  <c r="V34"/>
  <c r="U34"/>
  <c r="T34"/>
  <c r="S34"/>
  <c r="R34"/>
  <c r="Q34"/>
  <c r="D23"/>
  <c r="E23"/>
  <c r="F23" s="1"/>
  <c r="G23" s="1"/>
  <c r="H23" s="1"/>
  <c r="I23" s="1"/>
  <c r="J23" s="1"/>
  <c r="K23" s="1"/>
  <c r="L23" s="1"/>
  <c r="M23" s="1"/>
  <c r="N23" s="1"/>
  <c r="O23" s="1"/>
  <c r="P23" s="1"/>
  <c r="Q23" s="1"/>
  <c r="R23" s="1"/>
  <c r="S23" s="1"/>
  <c r="T23" s="1"/>
  <c r="U23" s="1"/>
  <c r="V23" s="1"/>
  <c r="W23" s="1"/>
  <c r="X23" s="1"/>
  <c r="Y23" s="1"/>
  <c r="Z23" s="1"/>
  <c r="AA23" s="1"/>
  <c r="AB23" s="1"/>
  <c r="AC23" s="1"/>
  <c r="AD23" s="1"/>
  <c r="AE23" s="1"/>
  <c r="AF23" s="1"/>
  <c r="AG23" s="1"/>
  <c r="AH23" s="1"/>
  <c r="C21"/>
  <c r="AC20"/>
  <c r="D18"/>
  <c r="E18" s="1"/>
  <c r="F18" s="1"/>
  <c r="G18" s="1"/>
  <c r="H18" s="1"/>
  <c r="I18" s="1"/>
  <c r="J18" s="1"/>
  <c r="K18" s="1"/>
  <c r="L18" s="1"/>
  <c r="M18" s="1"/>
  <c r="N18" s="1"/>
  <c r="O18" s="1"/>
  <c r="P18" s="1"/>
  <c r="Q18" s="1"/>
  <c r="R18" s="1"/>
  <c r="S18" s="1"/>
  <c r="T18" s="1"/>
  <c r="U18" s="1"/>
  <c r="V18" s="1"/>
  <c r="W18" s="1"/>
  <c r="X18" s="1"/>
  <c r="Y18" s="1"/>
  <c r="Z18" s="1"/>
  <c r="AA18" s="1"/>
  <c r="AB18" s="1"/>
  <c r="AC18" s="1"/>
  <c r="AD18" s="1"/>
  <c r="AE18" s="1"/>
  <c r="AF18" s="1"/>
  <c r="AG18" s="1"/>
  <c r="AH18" s="1"/>
  <c r="C6"/>
  <c r="R4"/>
  <c r="S4" s="1"/>
  <c r="T4" s="1"/>
  <c r="U4" s="1"/>
  <c r="V4" s="1"/>
  <c r="W4" s="1"/>
  <c r="X4" s="1"/>
  <c r="Y4" s="1"/>
  <c r="Z4" s="1"/>
  <c r="AA4" s="1"/>
  <c r="AB4" s="1"/>
  <c r="E4"/>
  <c r="F4"/>
  <c r="G4" s="1"/>
  <c r="H4" s="1"/>
  <c r="I4" s="1"/>
  <c r="J4" s="1"/>
  <c r="K4" s="1"/>
  <c r="L4" s="1"/>
  <c r="M4" s="1"/>
  <c r="N4" s="1"/>
  <c r="O4" s="1"/>
  <c r="D7" i="28"/>
  <c r="P7" s="1"/>
  <c r="B7" s="1"/>
  <c r="D8" i="66"/>
  <c r="E8"/>
  <c r="F8" s="1"/>
  <c r="G8" s="1"/>
  <c r="H8" s="1"/>
  <c r="I8" s="1"/>
  <c r="D27"/>
  <c r="E27"/>
  <c r="F27" s="1"/>
  <c r="G27" s="1"/>
  <c r="H27" s="1"/>
  <c r="I27" s="1"/>
  <c r="D23"/>
  <c r="E23"/>
  <c r="F23" s="1"/>
  <c r="G23" s="1"/>
  <c r="H23" s="1"/>
  <c r="I23" s="1"/>
  <c r="D15"/>
  <c r="E15"/>
  <c r="F15" s="1"/>
  <c r="G15" s="1"/>
  <c r="H15" s="1"/>
  <c r="I15" s="1"/>
  <c r="D13"/>
  <c r="E13"/>
  <c r="F13" s="1"/>
  <c r="G13" s="1"/>
  <c r="H13" s="1"/>
  <c r="I13" s="1"/>
  <c r="D14"/>
  <c r="E14"/>
  <c r="F14" s="1"/>
  <c r="G14" s="1"/>
  <c r="H14" s="1"/>
  <c r="I14" s="1"/>
  <c r="D12"/>
  <c r="E12"/>
  <c r="F12" s="1"/>
  <c r="G12" s="1"/>
  <c r="H12" s="1"/>
  <c r="I12" s="1"/>
  <c r="D10"/>
  <c r="E10"/>
  <c r="F10" s="1"/>
  <c r="G10" s="1"/>
  <c r="H10" s="1"/>
  <c r="I10" s="1"/>
  <c r="D9"/>
  <c r="E9"/>
  <c r="F9" s="1"/>
  <c r="G9" s="1"/>
  <c r="H9" s="1"/>
  <c r="I9" s="1"/>
  <c r="E5"/>
  <c r="F5"/>
  <c r="G5" s="1"/>
  <c r="H5" s="1"/>
  <c r="I5" s="1"/>
  <c r="E24" i="65"/>
  <c r="E8"/>
  <c r="D28"/>
  <c r="E27"/>
  <c r="D22"/>
  <c r="C22"/>
  <c r="E11"/>
  <c r="D9"/>
  <c r="C9"/>
  <c r="E6"/>
  <c r="E9" s="1"/>
  <c r="AG22" i="28"/>
  <c r="AG36" i="67" s="1"/>
  <c r="AH22" i="28"/>
  <c r="AH36" i="67" s="1"/>
  <c r="AG28" i="28"/>
  <c r="AH28"/>
  <c r="AD23" i="8"/>
  <c r="D24"/>
  <c r="Q24"/>
  <c r="Q23"/>
  <c r="D23"/>
  <c r="CO8" i="64"/>
  <c r="CE6"/>
  <c r="CF6" s="1"/>
  <c r="CG6" s="1"/>
  <c r="CH6" s="1"/>
  <c r="CI6" s="1"/>
  <c r="CJ6" s="1"/>
  <c r="CK6" s="1"/>
  <c r="CL6" s="1"/>
  <c r="CM6" s="1"/>
  <c r="CN6" s="1"/>
  <c r="CB8"/>
  <c r="BR6"/>
  <c r="BS6"/>
  <c r="BT6" s="1"/>
  <c r="BU6" s="1"/>
  <c r="BV6" s="1"/>
  <c r="BW6" s="1"/>
  <c r="BX6" s="1"/>
  <c r="BY6" s="1"/>
  <c r="BZ6" s="1"/>
  <c r="CA6" s="1"/>
  <c r="E6" i="28"/>
  <c r="F6" s="1"/>
  <c r="G6" s="1"/>
  <c r="H6" s="1"/>
  <c r="I6" s="1"/>
  <c r="J6" s="1"/>
  <c r="K6" s="1"/>
  <c r="L6" s="1"/>
  <c r="M6" s="1"/>
  <c r="N6" s="1"/>
  <c r="O6" s="1"/>
  <c r="E4" i="8"/>
  <c r="E24" s="1"/>
  <c r="E33" i="28"/>
  <c r="E31" s="1"/>
  <c r="F33"/>
  <c r="F31" s="1"/>
  <c r="G33"/>
  <c r="G31" s="1"/>
  <c r="D33"/>
  <c r="D31" s="1"/>
  <c r="D16"/>
  <c r="D19" i="67" s="1"/>
  <c r="D17" s="1"/>
  <c r="D14" i="8"/>
  <c r="B5" i="64"/>
  <c r="R4" i="8"/>
  <c r="S4"/>
  <c r="T4" s="1"/>
  <c r="R6" i="28"/>
  <c r="S6" s="1"/>
  <c r="T6" s="1"/>
  <c r="U6" s="1"/>
  <c r="V6" s="1"/>
  <c r="W6" s="1"/>
  <c r="X6" s="1"/>
  <c r="Y6" s="1"/>
  <c r="Z6" s="1"/>
  <c r="AA6" s="1"/>
  <c r="AB6" s="1"/>
  <c r="BE6" i="64"/>
  <c r="BF6"/>
  <c r="BG6" s="1"/>
  <c r="BH6" s="1"/>
  <c r="BI6" s="1"/>
  <c r="BJ6" s="1"/>
  <c r="BK6" s="1"/>
  <c r="BL6" s="1"/>
  <c r="BM6" s="1"/>
  <c r="BN6" s="1"/>
  <c r="AR6"/>
  <c r="AS6"/>
  <c r="AT6" s="1"/>
  <c r="AU6" s="1"/>
  <c r="AV6" s="1"/>
  <c r="AW6" s="1"/>
  <c r="AX6" s="1"/>
  <c r="AY6" s="1"/>
  <c r="AZ6" s="1"/>
  <c r="BA6" s="1"/>
  <c r="AE6"/>
  <c r="AF6"/>
  <c r="AG6" s="1"/>
  <c r="AH6" s="1"/>
  <c r="AI6" s="1"/>
  <c r="AJ6" s="1"/>
  <c r="AK6" s="1"/>
  <c r="AL6" s="1"/>
  <c r="AM6" s="1"/>
  <c r="AN6" s="1"/>
  <c r="R6"/>
  <c r="S6"/>
  <c r="T6" s="1"/>
  <c r="U6" s="1"/>
  <c r="V6" s="1"/>
  <c r="W6" s="1"/>
  <c r="X6" s="1"/>
  <c r="Y6" s="1"/>
  <c r="Z6" s="1"/>
  <c r="AA6" s="1"/>
  <c r="E6"/>
  <c r="F6"/>
  <c r="G6" s="1"/>
  <c r="H6" s="1"/>
  <c r="I6" s="1"/>
  <c r="J6" s="1"/>
  <c r="K6" s="1"/>
  <c r="L6" s="1"/>
  <c r="M6" s="1"/>
  <c r="N6" s="1"/>
  <c r="D4" i="62"/>
  <c r="E4"/>
  <c r="F4" s="1"/>
  <c r="G4" s="1"/>
  <c r="H4" s="1"/>
  <c r="I4" s="1"/>
  <c r="BO8" i="64"/>
  <c r="BB8"/>
  <c r="AO8"/>
  <c r="AB8"/>
  <c r="AJ37" i="28"/>
  <c r="AK37" s="1"/>
  <c r="AL37" s="1"/>
  <c r="AM37" s="1"/>
  <c r="AN37" s="1"/>
  <c r="AO37" s="1"/>
  <c r="AP37" s="1"/>
  <c r="AQ37" s="1"/>
  <c r="AR37" s="1"/>
  <c r="AS37" s="1"/>
  <c r="AJ36"/>
  <c r="AK36" s="1"/>
  <c r="AL36" s="1"/>
  <c r="AM36" s="1"/>
  <c r="AN36" s="1"/>
  <c r="AO36" s="1"/>
  <c r="AP36" s="1"/>
  <c r="AQ36" s="1"/>
  <c r="AR36" s="1"/>
  <c r="AS36" s="1"/>
  <c r="C3" i="61"/>
  <c r="D3"/>
  <c r="E3" s="1"/>
  <c r="F3" s="1"/>
  <c r="G3" s="1"/>
  <c r="H3" s="1"/>
  <c r="AC23" i="28"/>
  <c r="AC22" s="1"/>
  <c r="AC36" i="67" s="1"/>
  <c r="AE28" i="28"/>
  <c r="AC30"/>
  <c r="AC29"/>
  <c r="AC32"/>
  <c r="P32"/>
  <c r="AD22"/>
  <c r="AD36" i="67" s="1"/>
  <c r="AE22" i="28"/>
  <c r="AE36" i="67" s="1"/>
  <c r="AF22" i="28"/>
  <c r="AF36" i="67" s="1"/>
  <c r="Q28" i="28"/>
  <c r="R28"/>
  <c r="S28"/>
  <c r="T28"/>
  <c r="U28"/>
  <c r="V28"/>
  <c r="W28"/>
  <c r="X28"/>
  <c r="Y28"/>
  <c r="Z28"/>
  <c r="AA28"/>
  <c r="AB28"/>
  <c r="Q22"/>
  <c r="R22"/>
  <c r="S22"/>
  <c r="T22"/>
  <c r="U22"/>
  <c r="V22"/>
  <c r="W22"/>
  <c r="X22"/>
  <c r="Y22"/>
  <c r="Z22"/>
  <c r="AA22"/>
  <c r="AB22"/>
  <c r="AF28"/>
  <c r="K22"/>
  <c r="K25" s="1"/>
  <c r="AD28"/>
  <c r="E16"/>
  <c r="F16"/>
  <c r="G16"/>
  <c r="I33"/>
  <c r="I31"/>
  <c r="H33"/>
  <c r="H31"/>
  <c r="I16"/>
  <c r="H16"/>
  <c r="R24" i="8"/>
  <c r="C17" i="67"/>
  <c r="C24"/>
  <c r="C16"/>
  <c r="C11"/>
  <c r="C5"/>
  <c r="C28" s="1"/>
  <c r="M29" i="28"/>
  <c r="E8" i="59"/>
  <c r="H12"/>
  <c r="L33" i="28"/>
  <c r="L31" s="1"/>
  <c r="K33"/>
  <c r="K31" s="1"/>
  <c r="J33"/>
  <c r="J16"/>
  <c r="J31"/>
  <c r="K16"/>
  <c r="L16"/>
  <c r="J12" i="59"/>
  <c r="L11" i="28"/>
  <c r="A11"/>
  <c r="A10"/>
  <c r="J8" i="59"/>
  <c r="J5"/>
  <c r="AE23" i="8"/>
  <c r="AG3"/>
  <c r="AH3" s="1"/>
  <c r="AH23" s="1"/>
  <c r="AF23"/>
  <c r="S24"/>
  <c r="F4"/>
  <c r="D8"/>
  <c r="E8"/>
  <c r="F8"/>
  <c r="C28" i="65"/>
  <c r="C17"/>
  <c r="C30" s="1"/>
  <c r="E28"/>
  <c r="E22"/>
  <c r="G4" i="8"/>
  <c r="H4" s="1"/>
  <c r="F24"/>
  <c r="AG23"/>
  <c r="G24"/>
  <c r="D17" i="65"/>
  <c r="D14" i="59"/>
  <c r="G14" s="1"/>
  <c r="Q14" s="1"/>
  <c r="F10" i="28"/>
  <c r="F9" s="1"/>
  <c r="F5" i="8"/>
  <c r="F26" s="1"/>
  <c r="H11" i="28"/>
  <c r="E10"/>
  <c r="E5" i="8"/>
  <c r="E11" s="1"/>
  <c r="D10" i="28"/>
  <c r="F48" i="69"/>
  <c r="G48" s="1"/>
  <c r="H48" s="1"/>
  <c r="I48" s="1"/>
  <c r="J48" s="1"/>
  <c r="N11" i="28"/>
  <c r="O11"/>
  <c r="P7" i="8"/>
  <c r="M11" i="28"/>
  <c r="G4" i="63"/>
  <c r="H4" s="1"/>
  <c r="F22"/>
  <c r="I28" i="28"/>
  <c r="E26" i="8"/>
  <c r="N19" i="59"/>
  <c r="M28" i="8" s="1"/>
  <c r="N29" i="28"/>
  <c r="P19" i="59"/>
  <c r="O23" i="28" s="1"/>
  <c r="O22" s="1"/>
  <c r="O25" s="1"/>
  <c r="O28" i="8"/>
  <c r="I8" i="59"/>
  <c r="D30" i="65"/>
  <c r="F6"/>
  <c r="E17"/>
  <c r="F24"/>
  <c r="D26" i="8"/>
  <c r="D11"/>
  <c r="D15" s="1"/>
  <c r="D16" s="1"/>
  <c r="I12" i="59"/>
  <c r="I19" s="1"/>
  <c r="I5"/>
  <c r="E8" i="69"/>
  <c r="F8" s="1"/>
  <c r="F32"/>
  <c r="F40"/>
  <c r="G40" s="1"/>
  <c r="H40" s="1"/>
  <c r="I40" s="1"/>
  <c r="G32"/>
  <c r="F16"/>
  <c r="G22" i="63"/>
  <c r="H8" i="59"/>
  <c r="H24" i="65"/>
  <c r="H5" i="59"/>
  <c r="H19" s="1"/>
  <c r="G28" i="8" s="1"/>
  <c r="H32" i="69"/>
  <c r="G10" i="67"/>
  <c r="H10" s="1"/>
  <c r="I10" s="1"/>
  <c r="J10" s="1"/>
  <c r="K10" s="1"/>
  <c r="L10" s="1"/>
  <c r="M10" s="1"/>
  <c r="N10" s="1"/>
  <c r="O10" s="1"/>
  <c r="P10" s="1"/>
  <c r="I24" i="65" l="1"/>
  <c r="B32" i="28"/>
  <c r="AC28"/>
  <c r="AJ40" s="1"/>
  <c r="E30" i="65"/>
  <c r="H28" i="8"/>
  <c r="H23" i="28"/>
  <c r="H22" s="1"/>
  <c r="H25" s="1"/>
  <c r="O30"/>
  <c r="N7" i="64" s="1"/>
  <c r="G23" i="28"/>
  <c r="G22" s="1"/>
  <c r="G25" s="1"/>
  <c r="M23"/>
  <c r="M22" s="1"/>
  <c r="M25" s="1"/>
  <c r="K19" i="59"/>
  <c r="J23" i="28" s="1"/>
  <c r="J22" s="1"/>
  <c r="J25" s="1"/>
  <c r="L29"/>
  <c r="L30" s="1"/>
  <c r="J19" i="59"/>
  <c r="O19"/>
  <c r="N30" i="28" s="1"/>
  <c r="H6" i="69"/>
  <c r="H69" s="1"/>
  <c r="D14"/>
  <c r="D22" s="1"/>
  <c r="D30" s="1"/>
  <c r="D38" s="1"/>
  <c r="D46" s="1"/>
  <c r="D54" s="1"/>
  <c r="G6"/>
  <c r="G69" s="1"/>
  <c r="O28" i="28"/>
  <c r="F11" i="65"/>
  <c r="F16"/>
  <c r="F13"/>
  <c r="F27"/>
  <c r="F25"/>
  <c r="N23" i="28"/>
  <c r="N22" s="1"/>
  <c r="N25" s="1"/>
  <c r="K56" i="69"/>
  <c r="J57"/>
  <c r="J59" s="1"/>
  <c r="I4" i="8"/>
  <c r="H24"/>
  <c r="I28"/>
  <c r="I23" i="28"/>
  <c r="I22" s="1"/>
  <c r="I25" s="1"/>
  <c r="U4" i="8"/>
  <c r="T24"/>
  <c r="D17"/>
  <c r="D18" s="1"/>
  <c r="D17" i="28"/>
  <c r="H22" i="63"/>
  <c r="I4"/>
  <c r="L23" i="28"/>
  <c r="L22" s="1"/>
  <c r="L25" s="1"/>
  <c r="L28" i="8"/>
  <c r="J30" i="28"/>
  <c r="I7" i="64" s="1"/>
  <c r="K30" i="28"/>
  <c r="J7" i="64" s="1"/>
  <c r="J28" i="8"/>
  <c r="M30" i="28"/>
  <c r="M28" s="1"/>
  <c r="F11" i="8"/>
  <c r="H3" i="69"/>
  <c r="D12" i="59"/>
  <c r="G11"/>
  <c r="Q11" s="1"/>
  <c r="G10"/>
  <c r="Q10" s="1"/>
  <c r="F7"/>
  <c r="G13"/>
  <c r="I34" i="28"/>
  <c r="E9"/>
  <c r="F9" i="59"/>
  <c r="H16" i="65"/>
  <c r="D17" i="69"/>
  <c r="D25" s="1"/>
  <c r="D33" s="1"/>
  <c r="D41" s="1"/>
  <c r="D49" s="1"/>
  <c r="D57" s="1"/>
  <c r="E49"/>
  <c r="E33"/>
  <c r="F49"/>
  <c r="F25"/>
  <c r="F57"/>
  <c r="F33"/>
  <c r="E41"/>
  <c r="F41"/>
  <c r="G49"/>
  <c r="F17"/>
  <c r="G41"/>
  <c r="I49"/>
  <c r="E57"/>
  <c r="G33"/>
  <c r="H33"/>
  <c r="H41"/>
  <c r="I41"/>
  <c r="E17"/>
  <c r="G25"/>
  <c r="H49"/>
  <c r="G57"/>
  <c r="I57"/>
  <c r="D26" i="67"/>
  <c r="H13" i="65"/>
  <c r="G17" i="59"/>
  <c r="D16"/>
  <c r="D9" i="67"/>
  <c r="E9" s="1"/>
  <c r="K57" i="69"/>
  <c r="J49"/>
  <c r="H57"/>
  <c r="E25"/>
  <c r="C79"/>
  <c r="E78"/>
  <c r="P11" i="28"/>
  <c r="H6" i="65"/>
  <c r="I6" s="1"/>
  <c r="D9" i="28"/>
  <c r="H27" i="65"/>
  <c r="H25"/>
  <c r="H12"/>
  <c r="I12" s="1"/>
  <c r="F21"/>
  <c r="F8"/>
  <c r="F14"/>
  <c r="F15"/>
  <c r="F19"/>
  <c r="F7"/>
  <c r="F26"/>
  <c r="F20"/>
  <c r="G25"/>
  <c r="J25" s="1"/>
  <c r="G12"/>
  <c r="G13"/>
  <c r="J13" s="1"/>
  <c r="G6"/>
  <c r="G27"/>
  <c r="J27" s="1"/>
  <c r="G24"/>
  <c r="G16"/>
  <c r="I6" i="69"/>
  <c r="E64"/>
  <c r="F8" i="59"/>
  <c r="Q9"/>
  <c r="F9" i="69"/>
  <c r="E9"/>
  <c r="C25" i="63"/>
  <c r="D8" i="59"/>
  <c r="I27" i="65" l="1"/>
  <c r="I16"/>
  <c r="H11"/>
  <c r="I11"/>
  <c r="I25"/>
  <c r="I13"/>
  <c r="L7" i="64"/>
  <c r="K27" i="65"/>
  <c r="J58" i="69"/>
  <c r="G11" i="65"/>
  <c r="N28" i="8"/>
  <c r="K13" i="65"/>
  <c r="G8" i="59"/>
  <c r="G8" i="69"/>
  <c r="H8" s="1"/>
  <c r="H9" s="1"/>
  <c r="K7" i="64"/>
  <c r="L28" i="28"/>
  <c r="L34" s="1"/>
  <c r="V4" i="8"/>
  <c r="U24"/>
  <c r="J4"/>
  <c r="I24"/>
  <c r="K28" i="28"/>
  <c r="K34" s="1"/>
  <c r="Q13" i="59"/>
  <c r="Q12" s="1"/>
  <c r="B24" s="1"/>
  <c r="G12"/>
  <c r="H73" i="69"/>
  <c r="H77" s="1"/>
  <c r="I3"/>
  <c r="I22" i="63"/>
  <c r="J4"/>
  <c r="M7" i="64"/>
  <c r="N28" i="28"/>
  <c r="Q8" i="59"/>
  <c r="B23" s="1"/>
  <c r="C23" s="1"/>
  <c r="C41" i="66" s="1"/>
  <c r="K25" i="65"/>
  <c r="J16"/>
  <c r="K16" s="1"/>
  <c r="Q7" i="59"/>
  <c r="J28" i="28"/>
  <c r="J34" s="1"/>
  <c r="E11" i="69"/>
  <c r="E10"/>
  <c r="F10"/>
  <c r="F11"/>
  <c r="F64"/>
  <c r="E65"/>
  <c r="E74"/>
  <c r="J24" i="65"/>
  <c r="J12"/>
  <c r="K12" s="1"/>
  <c r="H20"/>
  <c r="I20" s="1"/>
  <c r="G20"/>
  <c r="J20" s="1"/>
  <c r="H7"/>
  <c r="I7" s="1"/>
  <c r="G7"/>
  <c r="J7" s="1"/>
  <c r="F9"/>
  <c r="H15"/>
  <c r="I15" s="1"/>
  <c r="G15"/>
  <c r="J15" s="1"/>
  <c r="G8"/>
  <c r="J8" s="1"/>
  <c r="H8"/>
  <c r="I8" s="1"/>
  <c r="D8" i="67"/>
  <c r="E8" s="1"/>
  <c r="F8" s="1"/>
  <c r="E79" i="69"/>
  <c r="G79"/>
  <c r="F79"/>
  <c r="H58"/>
  <c r="H59"/>
  <c r="H10"/>
  <c r="H11"/>
  <c r="I59"/>
  <c r="I58"/>
  <c r="H50"/>
  <c r="H51"/>
  <c r="E18"/>
  <c r="E19"/>
  <c r="H43"/>
  <c r="H42"/>
  <c r="G35"/>
  <c r="G34"/>
  <c r="I51"/>
  <c r="I50"/>
  <c r="F18"/>
  <c r="F19"/>
  <c r="F42"/>
  <c r="F43"/>
  <c r="F34"/>
  <c r="F35"/>
  <c r="F26"/>
  <c r="F27"/>
  <c r="E35"/>
  <c r="E34"/>
  <c r="H26" i="65"/>
  <c r="H28" s="1"/>
  <c r="F28"/>
  <c r="G26"/>
  <c r="G28" s="1"/>
  <c r="H19"/>
  <c r="I19" s="1"/>
  <c r="F22"/>
  <c r="G19"/>
  <c r="J19" s="1"/>
  <c r="G14"/>
  <c r="H14"/>
  <c r="I14" s="1"/>
  <c r="F17"/>
  <c r="H21"/>
  <c r="I21" s="1"/>
  <c r="G21"/>
  <c r="J21" s="1"/>
  <c r="E26" i="69"/>
  <c r="E27"/>
  <c r="J50"/>
  <c r="J51"/>
  <c r="K58"/>
  <c r="K59"/>
  <c r="Q17" i="59"/>
  <c r="Q16" s="1"/>
  <c r="B25" s="1"/>
  <c r="G16"/>
  <c r="G58" i="69"/>
  <c r="G59"/>
  <c r="G27"/>
  <c r="G26"/>
  <c r="I43"/>
  <c r="I42"/>
  <c r="H35"/>
  <c r="H34"/>
  <c r="E58"/>
  <c r="E59"/>
  <c r="G42"/>
  <c r="G43"/>
  <c r="G51"/>
  <c r="G50"/>
  <c r="E43"/>
  <c r="E42"/>
  <c r="F59"/>
  <c r="F58"/>
  <c r="F51"/>
  <c r="F50"/>
  <c r="E50"/>
  <c r="E51"/>
  <c r="G17" i="65"/>
  <c r="J11"/>
  <c r="J6"/>
  <c r="H79" i="69"/>
  <c r="E80"/>
  <c r="B36" i="33" s="1"/>
  <c r="I8" i="69"/>
  <c r="I26" i="65" l="1"/>
  <c r="D23" i="59"/>
  <c r="H9" i="65"/>
  <c r="G19" i="59"/>
  <c r="F28" i="8" s="1"/>
  <c r="G9" i="69"/>
  <c r="K11" i="65"/>
  <c r="K4" i="63"/>
  <c r="K22" s="1"/>
  <c r="J22"/>
  <c r="I73" i="69"/>
  <c r="I77" s="1"/>
  <c r="J3"/>
  <c r="K4" i="8"/>
  <c r="J24"/>
  <c r="V24"/>
  <c r="W4"/>
  <c r="H17" i="65"/>
  <c r="H22"/>
  <c r="J26"/>
  <c r="G9"/>
  <c r="D24" i="59"/>
  <c r="C24"/>
  <c r="C47" i="66" s="1"/>
  <c r="I9" i="65"/>
  <c r="K7"/>
  <c r="K15"/>
  <c r="E75" i="69"/>
  <c r="B34" i="33"/>
  <c r="F74" i="69"/>
  <c r="D43" i="66"/>
  <c r="E43"/>
  <c r="C43"/>
  <c r="G43"/>
  <c r="C44"/>
  <c r="D41" s="1"/>
  <c r="H43"/>
  <c r="I43"/>
  <c r="F43"/>
  <c r="E63" i="69"/>
  <c r="F63" s="1"/>
  <c r="G68"/>
  <c r="G64" s="1"/>
  <c r="G13"/>
  <c r="J8"/>
  <c r="I9"/>
  <c r="D25" i="59"/>
  <c r="C25"/>
  <c r="E5" i="63"/>
  <c r="F65" i="69"/>
  <c r="H68"/>
  <c r="H21"/>
  <c r="F67"/>
  <c r="F78" s="1"/>
  <c r="E61"/>
  <c r="K21" i="65"/>
  <c r="I22"/>
  <c r="J22"/>
  <c r="K8"/>
  <c r="F30"/>
  <c r="K20"/>
  <c r="J28"/>
  <c r="G67" i="69"/>
  <c r="G78" s="1"/>
  <c r="G80" s="1"/>
  <c r="J9" i="65"/>
  <c r="I17"/>
  <c r="J14"/>
  <c r="J17" s="1"/>
  <c r="G22"/>
  <c r="G30" s="1"/>
  <c r="K19"/>
  <c r="I28"/>
  <c r="K6"/>
  <c r="K9" s="1"/>
  <c r="K24"/>
  <c r="F23" i="28" l="1"/>
  <c r="F22" s="1"/>
  <c r="F25" s="1"/>
  <c r="D44" i="66"/>
  <c r="E41" s="1"/>
  <c r="E8" i="63"/>
  <c r="E9"/>
  <c r="G10" i="69"/>
  <c r="G11"/>
  <c r="K26" i="65"/>
  <c r="K22"/>
  <c r="H30"/>
  <c r="L4" i="8"/>
  <c r="K24"/>
  <c r="F49" i="66"/>
  <c r="I49"/>
  <c r="C49"/>
  <c r="C50" s="1"/>
  <c r="D47" s="1"/>
  <c r="H49"/>
  <c r="G49"/>
  <c r="E49"/>
  <c r="D49"/>
  <c r="W24" i="8"/>
  <c r="X4"/>
  <c r="J73" i="69"/>
  <c r="J77" s="1"/>
  <c r="K3"/>
  <c r="G74"/>
  <c r="H64"/>
  <c r="D36" i="33"/>
  <c r="D6" i="62"/>
  <c r="E66" i="69"/>
  <c r="F61"/>
  <c r="L22"/>
  <c r="L30"/>
  <c r="K22"/>
  <c r="K30"/>
  <c r="J22"/>
  <c r="H24"/>
  <c r="L38"/>
  <c r="E10" i="63"/>
  <c r="E6"/>
  <c r="E7"/>
  <c r="J9" i="69"/>
  <c r="K8"/>
  <c r="F80"/>
  <c r="F5" i="63"/>
  <c r="G65" i="69"/>
  <c r="I10"/>
  <c r="I11"/>
  <c r="I14"/>
  <c r="I69" s="1"/>
  <c r="I79" s="1"/>
  <c r="K14"/>
  <c r="J14"/>
  <c r="G16"/>
  <c r="C34" i="33"/>
  <c r="F75" i="69"/>
  <c r="C5" i="62"/>
  <c r="B33" i="33"/>
  <c r="J30" i="65"/>
  <c r="K14"/>
  <c r="K17" s="1"/>
  <c r="C26" i="63" s="1"/>
  <c r="C27" s="1"/>
  <c r="I30" i="65"/>
  <c r="K28"/>
  <c r="E44" i="66"/>
  <c r="F41" s="1"/>
  <c r="F44" s="1"/>
  <c r="G41" s="1"/>
  <c r="G44" s="1"/>
  <c r="H41" s="1"/>
  <c r="H44" s="1"/>
  <c r="I41" s="1"/>
  <c r="I44" s="1"/>
  <c r="B57" i="33" l="1"/>
  <c r="F8" i="63"/>
  <c r="F9"/>
  <c r="E11"/>
  <c r="J69" i="69"/>
  <c r="J79" s="1"/>
  <c r="D50" i="66"/>
  <c r="E47" s="1"/>
  <c r="E50" s="1"/>
  <c r="F47" s="1"/>
  <c r="F50" s="1"/>
  <c r="G47" s="1"/>
  <c r="G50" s="1"/>
  <c r="H47" s="1"/>
  <c r="H50" s="1"/>
  <c r="I47" s="1"/>
  <c r="I50" s="1"/>
  <c r="K73" i="69"/>
  <c r="K77" s="1"/>
  <c r="L3"/>
  <c r="L73" s="1"/>
  <c r="L77" s="1"/>
  <c r="Y4" i="8"/>
  <c r="X24"/>
  <c r="L24"/>
  <c r="M4"/>
  <c r="H6"/>
  <c r="G6"/>
  <c r="O6"/>
  <c r="N6"/>
  <c r="M6"/>
  <c r="L6"/>
  <c r="I6"/>
  <c r="K6"/>
  <c r="J6"/>
  <c r="F10" i="63"/>
  <c r="F6"/>
  <c r="F7"/>
  <c r="C6" i="62"/>
  <c r="C7" s="1"/>
  <c r="C36" i="33"/>
  <c r="J10" i="69"/>
  <c r="J11"/>
  <c r="E12" i="63"/>
  <c r="F66" i="69"/>
  <c r="E1"/>
  <c r="E28" i="63"/>
  <c r="E29" s="1"/>
  <c r="G75" i="69"/>
  <c r="D34" i="33"/>
  <c r="C33"/>
  <c r="D5" i="62"/>
  <c r="H16" i="69"/>
  <c r="G17"/>
  <c r="H65"/>
  <c r="G5" i="63"/>
  <c r="L8" i="69"/>
  <c r="L9" s="1"/>
  <c r="K9"/>
  <c r="I24"/>
  <c r="H25"/>
  <c r="T7" i="8"/>
  <c r="T11" i="28" s="1"/>
  <c r="AB7" i="8"/>
  <c r="AB11" i="28" s="1"/>
  <c r="Y7" i="8"/>
  <c r="Y11" i="28" s="1"/>
  <c r="R7" i="8"/>
  <c r="R11" i="28" s="1"/>
  <c r="Z7" i="8"/>
  <c r="Z11" i="28" s="1"/>
  <c r="W7" i="8"/>
  <c r="W11" i="28" s="1"/>
  <c r="X7" i="8"/>
  <c r="X11" i="28" s="1"/>
  <c r="Q7" i="8"/>
  <c r="S7"/>
  <c r="S11" i="28" s="1"/>
  <c r="V7" i="8"/>
  <c r="V11" i="28" s="1"/>
  <c r="U7" i="8"/>
  <c r="U11" i="28" s="1"/>
  <c r="AA7" i="8"/>
  <c r="AA11" i="28" s="1"/>
  <c r="H74" i="69"/>
  <c r="L69"/>
  <c r="L79" s="1"/>
  <c r="M79" s="1"/>
  <c r="K30" i="65"/>
  <c r="C6" i="66" s="1"/>
  <c r="K69" i="69"/>
  <c r="K79" s="1"/>
  <c r="E15" i="63" l="1"/>
  <c r="E16"/>
  <c r="G8"/>
  <c r="G9"/>
  <c r="F11"/>
  <c r="Y24" i="8"/>
  <c r="Z4"/>
  <c r="N4"/>
  <c r="M24"/>
  <c r="AC7"/>
  <c r="Q11" i="28"/>
  <c r="AC11" s="1"/>
  <c r="H26" i="69"/>
  <c r="H27"/>
  <c r="K11"/>
  <c r="K10"/>
  <c r="G10" i="63"/>
  <c r="G6"/>
  <c r="G7"/>
  <c r="H5"/>
  <c r="I16" i="69"/>
  <c r="H17"/>
  <c r="D33" i="33"/>
  <c r="E5" i="62"/>
  <c r="E17" i="63"/>
  <c r="E14"/>
  <c r="E13"/>
  <c r="J10" i="28"/>
  <c r="J9" s="1"/>
  <c r="J5" i="8"/>
  <c r="L5"/>
  <c r="L10" i="28"/>
  <c r="L9" s="1"/>
  <c r="N10"/>
  <c r="N9" s="1"/>
  <c r="N5" i="8"/>
  <c r="G5"/>
  <c r="P6"/>
  <c r="G10" i="28"/>
  <c r="C19" i="66"/>
  <c r="C18" s="1"/>
  <c r="C16"/>
  <c r="D6"/>
  <c r="H75" i="69"/>
  <c r="E34" i="33"/>
  <c r="J24" i="69"/>
  <c r="I25"/>
  <c r="L11"/>
  <c r="L10"/>
  <c r="G19"/>
  <c r="G18"/>
  <c r="X6" i="8"/>
  <c r="U6"/>
  <c r="Q6"/>
  <c r="V6"/>
  <c r="S6"/>
  <c r="W6"/>
  <c r="AB6"/>
  <c r="R6"/>
  <c r="D7" i="62"/>
  <c r="Y6" i="8"/>
  <c r="AA6"/>
  <c r="T6"/>
  <c r="Z6"/>
  <c r="I10"/>
  <c r="I14" i="28" s="1"/>
  <c r="M10" i="8"/>
  <c r="M14" i="28" s="1"/>
  <c r="H10" i="8"/>
  <c r="H14" i="28" s="1"/>
  <c r="L10" i="8"/>
  <c r="L14" i="28" s="1"/>
  <c r="G10" i="8"/>
  <c r="O10"/>
  <c r="O14" i="28" s="1"/>
  <c r="N10" i="8"/>
  <c r="N14" i="28" s="1"/>
  <c r="K10" i="8"/>
  <c r="K14" i="28" s="1"/>
  <c r="J10" i="8"/>
  <c r="J14" i="28" s="1"/>
  <c r="F12" i="63"/>
  <c r="F28"/>
  <c r="F29" s="1"/>
  <c r="F1" i="69"/>
  <c r="K10" i="28"/>
  <c r="K9" s="1"/>
  <c r="K5" i="8"/>
  <c r="I10" i="28"/>
  <c r="I9" s="1"/>
  <c r="I5" i="8"/>
  <c r="M5"/>
  <c r="M10" i="28"/>
  <c r="M9" s="1"/>
  <c r="O5" i="8"/>
  <c r="O10" i="28"/>
  <c r="O9" s="1"/>
  <c r="H10"/>
  <c r="H9" s="1"/>
  <c r="H5" i="8"/>
  <c r="F15" i="63" l="1"/>
  <c r="F16"/>
  <c r="H8"/>
  <c r="H9"/>
  <c r="O4" i="8"/>
  <c r="O24" s="1"/>
  <c r="N24"/>
  <c r="Z24"/>
  <c r="AA4"/>
  <c r="O26"/>
  <c r="M26"/>
  <c r="S10"/>
  <c r="S14" i="28" s="1"/>
  <c r="U10" i="8"/>
  <c r="U14" i="28" s="1"/>
  <c r="W10" i="8"/>
  <c r="W14" i="28" s="1"/>
  <c r="Y10" i="8"/>
  <c r="Y14" i="28" s="1"/>
  <c r="AA10" i="8"/>
  <c r="AA14" i="28" s="1"/>
  <c r="Q10" i="8"/>
  <c r="R10"/>
  <c r="R14" i="28" s="1"/>
  <c r="V10" i="8"/>
  <c r="V14" i="28" s="1"/>
  <c r="Z10" i="8"/>
  <c r="Z14" i="28" s="1"/>
  <c r="T10" i="8"/>
  <c r="T14" i="28" s="1"/>
  <c r="AB10" i="8"/>
  <c r="AB14" i="28" s="1"/>
  <c r="X10" i="8"/>
  <c r="X14" i="28" s="1"/>
  <c r="F17" i="63"/>
  <c r="F13"/>
  <c r="F14"/>
  <c r="Z10" i="28"/>
  <c r="Z9" s="1"/>
  <c r="Z5" i="8"/>
  <c r="AA10" i="28"/>
  <c r="AA9" s="1"/>
  <c r="AA5" i="8"/>
  <c r="AB5"/>
  <c r="AB10" i="28"/>
  <c r="AB9" s="1"/>
  <c r="S10"/>
  <c r="S9" s="1"/>
  <c r="S5" i="8"/>
  <c r="Q10" i="28"/>
  <c r="Q5" i="8"/>
  <c r="AC6"/>
  <c r="AC5" s="1"/>
  <c r="X10" i="28"/>
  <c r="X9" s="1"/>
  <c r="X5" i="8"/>
  <c r="I68" i="69"/>
  <c r="I64" s="1"/>
  <c r="I29"/>
  <c r="I32" s="1"/>
  <c r="G63"/>
  <c r="J25"/>
  <c r="K24"/>
  <c r="E33" i="33"/>
  <c r="F5" i="62"/>
  <c r="P5" i="8"/>
  <c r="N26"/>
  <c r="J26"/>
  <c r="AD6"/>
  <c r="H18" i="69"/>
  <c r="I67" s="1"/>
  <c r="I78" s="1"/>
  <c r="I80" s="1"/>
  <c r="H19"/>
  <c r="H26" i="8"/>
  <c r="I26"/>
  <c r="K26"/>
  <c r="G14" i="28"/>
  <c r="P14" s="1"/>
  <c r="P10" i="8"/>
  <c r="T10" i="28"/>
  <c r="T9" s="1"/>
  <c r="T5" i="8"/>
  <c r="Y10" i="28"/>
  <c r="Y9" s="1"/>
  <c r="Y5" i="8"/>
  <c r="R10" i="28"/>
  <c r="R9" s="1"/>
  <c r="R5" i="8"/>
  <c r="W5"/>
  <c r="W10" i="28"/>
  <c r="W9" s="1"/>
  <c r="V10"/>
  <c r="V9" s="1"/>
  <c r="V5" i="8"/>
  <c r="U10" i="28"/>
  <c r="U9" s="1"/>
  <c r="U5" i="8"/>
  <c r="H67" i="69"/>
  <c r="H78" s="1"/>
  <c r="G61"/>
  <c r="I26"/>
  <c r="I27"/>
  <c r="E6" i="66"/>
  <c r="D16"/>
  <c r="D19"/>
  <c r="D18" s="1"/>
  <c r="G9" i="28"/>
  <c r="G8" i="67" s="1"/>
  <c r="H8" s="1"/>
  <c r="I8" s="1"/>
  <c r="J8" s="1"/>
  <c r="K8" s="1"/>
  <c r="L8" s="1"/>
  <c r="M8" s="1"/>
  <c r="N8" s="1"/>
  <c r="O8" s="1"/>
  <c r="P8" s="1"/>
  <c r="P10" i="28"/>
  <c r="G26" i="8"/>
  <c r="L26"/>
  <c r="J16" i="69"/>
  <c r="I17"/>
  <c r="H6" i="63"/>
  <c r="H10"/>
  <c r="H7"/>
  <c r="E18"/>
  <c r="E19" s="1"/>
  <c r="G11"/>
  <c r="F18" l="1"/>
  <c r="F19" s="1"/>
  <c r="V9" i="8" s="1"/>
  <c r="AB4"/>
  <c r="AB24" s="1"/>
  <c r="AA24"/>
  <c r="J9"/>
  <c r="K9"/>
  <c r="L9"/>
  <c r="M9"/>
  <c r="I9"/>
  <c r="G9"/>
  <c r="N9"/>
  <c r="H9"/>
  <c r="O9"/>
  <c r="I19" i="69"/>
  <c r="I18"/>
  <c r="P26" i="8"/>
  <c r="F6" i="66"/>
  <c r="E19"/>
  <c r="E18" s="1"/>
  <c r="E16"/>
  <c r="H80" i="69"/>
  <c r="W26" i="8"/>
  <c r="F6" i="62"/>
  <c r="AE7" i="8" s="1"/>
  <c r="AE11" i="28" s="1"/>
  <c r="F36" i="33"/>
  <c r="AD10" i="28"/>
  <c r="B4" i="61"/>
  <c r="J27" i="69"/>
  <c r="J26"/>
  <c r="I33"/>
  <c r="J32"/>
  <c r="X26" i="8"/>
  <c r="C4" i="61"/>
  <c r="Q9" i="28"/>
  <c r="Q8" i="67" s="1"/>
  <c r="R8" s="1"/>
  <c r="S8" s="1"/>
  <c r="T8" s="1"/>
  <c r="U8" s="1"/>
  <c r="V8" s="1"/>
  <c r="W8" s="1"/>
  <c r="X8" s="1"/>
  <c r="Y8" s="1"/>
  <c r="Z8" s="1"/>
  <c r="AA8" s="1"/>
  <c r="AB8" s="1"/>
  <c r="AC8" s="1"/>
  <c r="AC10" i="28"/>
  <c r="AC9" s="1"/>
  <c r="AB26" i="8"/>
  <c r="AC10"/>
  <c r="Q14" i="28"/>
  <c r="AC14" s="1"/>
  <c r="K16" i="69"/>
  <c r="J17"/>
  <c r="P9" i="28"/>
  <c r="H61" i="69"/>
  <c r="G66"/>
  <c r="U26" i="8"/>
  <c r="V26"/>
  <c r="R26"/>
  <c r="Y26"/>
  <c r="T26"/>
  <c r="J68" i="69"/>
  <c r="J64" s="1"/>
  <c r="J37"/>
  <c r="J40" s="1"/>
  <c r="AE6" i="8"/>
  <c r="L24" i="69"/>
  <c r="L25" s="1"/>
  <c r="K25"/>
  <c r="I74"/>
  <c r="I65"/>
  <c r="Q26" i="8"/>
  <c r="S26"/>
  <c r="AA26"/>
  <c r="Z26"/>
  <c r="H11" i="63"/>
  <c r="H63" i="69"/>
  <c r="R9" i="8" l="1"/>
  <c r="Y9"/>
  <c r="Y13" i="28" s="1"/>
  <c r="W9" i="8"/>
  <c r="W13" i="28" s="1"/>
  <c r="Q9" i="8"/>
  <c r="Q8" s="1"/>
  <c r="Q11" s="1"/>
  <c r="T9"/>
  <c r="T13" i="28" s="1"/>
  <c r="Z9" i="8"/>
  <c r="Z8" s="1"/>
  <c r="Z11" s="1"/>
  <c r="U9"/>
  <c r="U13" i="28" s="1"/>
  <c r="X9" i="8"/>
  <c r="X8" s="1"/>
  <c r="X11" s="1"/>
  <c r="AB9"/>
  <c r="AB13" i="28" s="1"/>
  <c r="AA9" i="8"/>
  <c r="AA13" i="28" s="1"/>
  <c r="S9" i="8"/>
  <c r="S8" s="1"/>
  <c r="S11" s="1"/>
  <c r="F7" i="62"/>
  <c r="AC26" i="8"/>
  <c r="I75" i="69"/>
  <c r="F34" i="33"/>
  <c r="K27" i="69"/>
  <c r="K26"/>
  <c r="AE5" i="8"/>
  <c r="AE10" i="28"/>
  <c r="K40" i="69"/>
  <c r="J41"/>
  <c r="H66"/>
  <c r="G12" i="63"/>
  <c r="G1" i="69"/>
  <c r="G28" i="63"/>
  <c r="G29" s="1"/>
  <c r="AD10" i="8" s="1"/>
  <c r="J19" i="69"/>
  <c r="J18"/>
  <c r="U8" i="8"/>
  <c r="U11" s="1"/>
  <c r="AB8"/>
  <c r="AB11" s="1"/>
  <c r="S13" i="28"/>
  <c r="V13"/>
  <c r="V8" i="8"/>
  <c r="V11" s="1"/>
  <c r="K32" i="69"/>
  <c r="J33"/>
  <c r="F19" i="66"/>
  <c r="F18" s="1"/>
  <c r="F16"/>
  <c r="G6"/>
  <c r="H8" i="8"/>
  <c r="H11" s="1"/>
  <c r="H13" i="28"/>
  <c r="G8" i="8"/>
  <c r="G11" s="1"/>
  <c r="G13" i="28"/>
  <c r="P9" i="8"/>
  <c r="M13" i="28"/>
  <c r="M8" i="8"/>
  <c r="M11" s="1"/>
  <c r="K8"/>
  <c r="K11" s="1"/>
  <c r="K13" i="28"/>
  <c r="I5" i="63"/>
  <c r="J65" i="69"/>
  <c r="J74"/>
  <c r="L27"/>
  <c r="L26"/>
  <c r="L16"/>
  <c r="L17" s="1"/>
  <c r="K17"/>
  <c r="T8" i="8"/>
  <c r="T11" s="1"/>
  <c r="R13" i="28"/>
  <c r="R8" i="8"/>
  <c r="R11" s="1"/>
  <c r="I34" i="69"/>
  <c r="I61" s="1"/>
  <c r="I35"/>
  <c r="K68" s="1"/>
  <c r="K64" s="1"/>
  <c r="E36" i="33"/>
  <c r="E6" i="62"/>
  <c r="O8" i="8"/>
  <c r="O11" s="1"/>
  <c r="O13" i="28"/>
  <c r="F13" s="1"/>
  <c r="N8" i="8"/>
  <c r="N11" s="1"/>
  <c r="N13" i="28"/>
  <c r="I13"/>
  <c r="I8" i="8"/>
  <c r="I11" s="1"/>
  <c r="L8"/>
  <c r="L11" s="1"/>
  <c r="L13" i="28"/>
  <c r="J8" i="8"/>
  <c r="J11" s="1"/>
  <c r="J13" i="28"/>
  <c r="AA8" i="8" l="1"/>
  <c r="AA11" s="1"/>
  <c r="X13" i="28"/>
  <c r="F27" i="8"/>
  <c r="F29" s="1"/>
  <c r="F9" i="67"/>
  <c r="J67" i="69"/>
  <c r="J78" s="1"/>
  <c r="W8" i="8"/>
  <c r="W11" s="1"/>
  <c r="Y8"/>
  <c r="Y11" s="1"/>
  <c r="Z13" i="28"/>
  <c r="AC9" i="8"/>
  <c r="AC8" s="1"/>
  <c r="AC11" s="1"/>
  <c r="G15" i="63"/>
  <c r="G16"/>
  <c r="Q13" i="28"/>
  <c r="Q10" i="67" s="1"/>
  <c r="R10" s="1"/>
  <c r="S10" s="1"/>
  <c r="T10" s="1"/>
  <c r="U10" s="1"/>
  <c r="V10" s="1"/>
  <c r="W10" s="1"/>
  <c r="X10" s="1"/>
  <c r="Y10" s="1"/>
  <c r="Z10" s="1"/>
  <c r="AA10" s="1"/>
  <c r="AB10" s="1"/>
  <c r="AC10" s="1"/>
  <c r="I8" i="63"/>
  <c r="I9"/>
  <c r="I63" i="69"/>
  <c r="I66" s="1"/>
  <c r="K74"/>
  <c r="AD7" i="8"/>
  <c r="E7" i="62"/>
  <c r="L19" i="69"/>
  <c r="L18"/>
  <c r="G34" i="33"/>
  <c r="J75" i="69"/>
  <c r="K65"/>
  <c r="J5" i="63"/>
  <c r="H6" i="66"/>
  <c r="G16"/>
  <c r="G19"/>
  <c r="G18" s="1"/>
  <c r="J35" i="69"/>
  <c r="J34"/>
  <c r="H12" i="63"/>
  <c r="H1" i="69"/>
  <c r="H28" i="63"/>
  <c r="H29" s="1"/>
  <c r="AE10" i="8" s="1"/>
  <c r="AE14" i="28" s="1"/>
  <c r="L40" i="69"/>
  <c r="L41" s="1"/>
  <c r="K41"/>
  <c r="AE26" i="8"/>
  <c r="E4" i="61"/>
  <c r="G5" i="62"/>
  <c r="F33" i="33"/>
  <c r="J80" i="69"/>
  <c r="C8" i="61"/>
  <c r="C9" s="1"/>
  <c r="C10" s="1"/>
  <c r="K19" i="69"/>
  <c r="K18"/>
  <c r="I10" i="63"/>
  <c r="I7"/>
  <c r="I6"/>
  <c r="P8" i="8"/>
  <c r="L32" i="69"/>
  <c r="L33" s="1"/>
  <c r="K33"/>
  <c r="AD14" i="28"/>
  <c r="G14" i="63"/>
  <c r="G13"/>
  <c r="G17"/>
  <c r="J42" i="69"/>
  <c r="J43"/>
  <c r="AE9" i="28"/>
  <c r="K45" i="69"/>
  <c r="K48" s="1"/>
  <c r="J61" l="1"/>
  <c r="AC13" i="28"/>
  <c r="H15" i="63"/>
  <c r="H16"/>
  <c r="J8"/>
  <c r="J9"/>
  <c r="J63" i="69"/>
  <c r="J66" s="1"/>
  <c r="L68"/>
  <c r="L64" s="1"/>
  <c r="L74" s="1"/>
  <c r="L75" s="1"/>
  <c r="K67"/>
  <c r="K78" s="1"/>
  <c r="K80" s="1"/>
  <c r="K49"/>
  <c r="L48"/>
  <c r="L49" s="1"/>
  <c r="L35"/>
  <c r="L34"/>
  <c r="B8" i="61"/>
  <c r="B9" s="1"/>
  <c r="B10" s="1"/>
  <c r="P11" i="8"/>
  <c r="AD10" i="67"/>
  <c r="AE10" s="1"/>
  <c r="AF10" s="1"/>
  <c r="AG10" s="1"/>
  <c r="AH10" s="1"/>
  <c r="P13" i="28"/>
  <c r="G9" i="67"/>
  <c r="H9" s="1"/>
  <c r="I9" s="1"/>
  <c r="J9" s="1"/>
  <c r="K9" s="1"/>
  <c r="L9" s="1"/>
  <c r="M9" s="1"/>
  <c r="N9" s="1"/>
  <c r="O9" s="1"/>
  <c r="G36" i="33"/>
  <c r="G6" i="62"/>
  <c r="AF7" i="8" s="1"/>
  <c r="AF11" i="28" s="1"/>
  <c r="AF6" i="8"/>
  <c r="K42" i="69"/>
  <c r="K43"/>
  <c r="I12" i="63"/>
  <c r="I1" i="69"/>
  <c r="I28" i="63"/>
  <c r="I29" s="1"/>
  <c r="AF10" i="8" s="1"/>
  <c r="AF14" i="28" s="1"/>
  <c r="I6" i="66"/>
  <c r="H19"/>
  <c r="H18" s="1"/>
  <c r="H16"/>
  <c r="G33" i="33"/>
  <c r="H5" i="62"/>
  <c r="K34" i="69"/>
  <c r="K35"/>
  <c r="L42"/>
  <c r="L43"/>
  <c r="H17" i="63"/>
  <c r="H13"/>
  <c r="H14"/>
  <c r="J7"/>
  <c r="J6"/>
  <c r="J10"/>
  <c r="K5"/>
  <c r="AD11" i="28"/>
  <c r="AD5" i="8"/>
  <c r="H34" i="33"/>
  <c r="K75" i="69"/>
  <c r="L53"/>
  <c r="L56" s="1"/>
  <c r="L57" s="1"/>
  <c r="G18" i="63"/>
  <c r="G19" s="1"/>
  <c r="AD9" i="8" s="1"/>
  <c r="I11" i="63"/>
  <c r="L65" i="69" l="1"/>
  <c r="B84" s="1"/>
  <c r="I15" i="63"/>
  <c r="I16"/>
  <c r="K8"/>
  <c r="K9"/>
  <c r="H18"/>
  <c r="H19" s="1"/>
  <c r="AE9" i="8" s="1"/>
  <c r="AE8" s="1"/>
  <c r="AD8"/>
  <c r="AD11" s="1"/>
  <c r="AD13" i="28"/>
  <c r="L58" i="69"/>
  <c r="L59"/>
  <c r="I5" i="62"/>
  <c r="H33" i="33"/>
  <c r="AE13" i="28"/>
  <c r="AG6" i="8"/>
  <c r="I16" i="66"/>
  <c r="I19"/>
  <c r="I18" s="1"/>
  <c r="I13" i="63"/>
  <c r="I14"/>
  <c r="I17"/>
  <c r="AF10" i="28"/>
  <c r="AF5" i="8"/>
  <c r="Q9" i="67"/>
  <c r="S9" s="1"/>
  <c r="U9" s="1"/>
  <c r="W9" s="1"/>
  <c r="Y9" s="1"/>
  <c r="AA9" s="1"/>
  <c r="P9"/>
  <c r="L50" i="69"/>
  <c r="L51"/>
  <c r="H6" i="62"/>
  <c r="AG7" i="8" s="1"/>
  <c r="H36" i="33"/>
  <c r="AD26" i="8"/>
  <c r="D4" i="61"/>
  <c r="AD9" i="28"/>
  <c r="K10" i="63"/>
  <c r="K7"/>
  <c r="K6"/>
  <c r="J12"/>
  <c r="J1" i="69"/>
  <c r="J28" i="63"/>
  <c r="J29" s="1"/>
  <c r="AG10" i="8" s="1"/>
  <c r="K51" i="69"/>
  <c r="K63" s="1"/>
  <c r="K50"/>
  <c r="K61" s="1"/>
  <c r="J11" i="63"/>
  <c r="G7" i="62"/>
  <c r="L67" i="69" l="1"/>
  <c r="L78" s="1"/>
  <c r="J15" i="63"/>
  <c r="J16"/>
  <c r="K11"/>
  <c r="K66" i="69"/>
  <c r="R9" i="67"/>
  <c r="T9" s="1"/>
  <c r="V9" s="1"/>
  <c r="X9" s="1"/>
  <c r="Z9" s="1"/>
  <c r="AB9" s="1"/>
  <c r="AC9" s="1"/>
  <c r="P32"/>
  <c r="AF9" i="28"/>
  <c r="AG10"/>
  <c r="AG5" i="8"/>
  <c r="AG14" i="28"/>
  <c r="J14" i="63"/>
  <c r="J13"/>
  <c r="J17"/>
  <c r="AG11" i="28"/>
  <c r="AF26" i="8"/>
  <c r="F4" i="61"/>
  <c r="E8"/>
  <c r="E9" s="1"/>
  <c r="E10" s="1"/>
  <c r="AE11" i="8"/>
  <c r="AH6"/>
  <c r="D8" i="61"/>
  <c r="D9" s="1"/>
  <c r="D10" s="1"/>
  <c r="L63" i="69"/>
  <c r="AD8" i="67"/>
  <c r="I18" i="63"/>
  <c r="I19" s="1"/>
  <c r="AF9" i="8" s="1"/>
  <c r="H7" i="62"/>
  <c r="L80" i="69" l="1"/>
  <c r="I6" i="62" s="1"/>
  <c r="AH7" i="8" s="1"/>
  <c r="AH11" i="28" s="1"/>
  <c r="B11" s="1"/>
  <c r="M78" i="69"/>
  <c r="M77" s="1"/>
  <c r="L61"/>
  <c r="AH10" i="28"/>
  <c r="B6" i="8"/>
  <c r="G4" i="61"/>
  <c r="AG26" i="8"/>
  <c r="AF8"/>
  <c r="AF13" i="28"/>
  <c r="AE8" i="67"/>
  <c r="AD9"/>
  <c r="K12" i="63"/>
  <c r="L66" i="69"/>
  <c r="B85" s="1"/>
  <c r="B91" s="1"/>
  <c r="B6" i="59" s="1"/>
  <c r="D6" s="1"/>
  <c r="K1" i="69"/>
  <c r="K28" i="63"/>
  <c r="K29" s="1"/>
  <c r="AH10" i="8" s="1"/>
  <c r="B7"/>
  <c r="J18" i="63"/>
  <c r="J19" s="1"/>
  <c r="AG9" i="8" s="1"/>
  <c r="AG9" i="28"/>
  <c r="I7" i="62" l="1"/>
  <c r="AH5" i="8"/>
  <c r="B5" s="1"/>
  <c r="F6" i="59"/>
  <c r="F5" s="1"/>
  <c r="F19" s="1"/>
  <c r="E6"/>
  <c r="D5"/>
  <c r="D19" s="1"/>
  <c r="K15" i="63"/>
  <c r="K16"/>
  <c r="AH14" i="28"/>
  <c r="B14" s="1"/>
  <c r="B10" i="8"/>
  <c r="B83" i="69"/>
  <c r="L1"/>
  <c r="C30" i="53" s="1"/>
  <c r="AF9" i="67"/>
  <c r="AD32"/>
  <c r="F8" i="61"/>
  <c r="F9" s="1"/>
  <c r="F10" s="1"/>
  <c r="AF11" i="8"/>
  <c r="H4" i="61"/>
  <c r="AH26" i="8"/>
  <c r="AG8"/>
  <c r="AG13" i="28"/>
  <c r="K13" i="63"/>
  <c r="K14"/>
  <c r="K17"/>
  <c r="AE9" i="67"/>
  <c r="AC32"/>
  <c r="AF8"/>
  <c r="AH9" i="28"/>
  <c r="B10"/>
  <c r="Q6" i="59" l="1"/>
  <c r="Q5" s="1"/>
  <c r="E5"/>
  <c r="E19" s="1"/>
  <c r="E23" i="28"/>
  <c r="E22" s="1"/>
  <c r="E25" s="1"/>
  <c r="E28" i="8"/>
  <c r="E29" s="1"/>
  <c r="AE32" i="67"/>
  <c r="AG9"/>
  <c r="AG32" s="1"/>
  <c r="G8" i="61"/>
  <c r="G9" s="1"/>
  <c r="G10" s="1"/>
  <c r="AG11" i="8"/>
  <c r="AF32" i="67"/>
  <c r="AH9"/>
  <c r="AG8"/>
  <c r="B26" i="8"/>
  <c r="K18" i="63"/>
  <c r="K19" s="1"/>
  <c r="AH9" i="8" s="1"/>
  <c r="B9" i="28"/>
  <c r="B22" i="59" l="1"/>
  <c r="Q19"/>
  <c r="D20" s="1"/>
  <c r="D28" i="8"/>
  <c r="D23" i="28"/>
  <c r="AH32" i="67"/>
  <c r="AH13" i="28"/>
  <c r="AH8" i="8"/>
  <c r="B9"/>
  <c r="AH8" i="67"/>
  <c r="D29" i="8" l="1"/>
  <c r="P28"/>
  <c r="B28" s="1"/>
  <c r="D22" i="59"/>
  <c r="D26" s="1"/>
  <c r="C22"/>
  <c r="B26"/>
  <c r="D22" i="28"/>
  <c r="P23"/>
  <c r="H8" i="61"/>
  <c r="H9" s="1"/>
  <c r="H10" s="1"/>
  <c r="AH11" i="8"/>
  <c r="B8"/>
  <c r="B13" i="28"/>
  <c r="B23" l="1"/>
  <c r="P22"/>
  <c r="D30" i="8"/>
  <c r="D31"/>
  <c r="D18" i="28" s="1"/>
  <c r="D12" s="1"/>
  <c r="D19" s="1"/>
  <c r="D25"/>
  <c r="P25" s="1"/>
  <c r="D12" i="67"/>
  <c r="E12" s="1"/>
  <c r="F12" s="1"/>
  <c r="C26" i="59"/>
  <c r="C35" i="66"/>
  <c r="B11" i="8"/>
  <c r="H37" i="66" l="1"/>
  <c r="H31" s="1"/>
  <c r="AG13" i="8" s="1"/>
  <c r="AG35" i="67" s="1"/>
  <c r="G37" i="66"/>
  <c r="G31" s="1"/>
  <c r="AF13" i="8" s="1"/>
  <c r="AF35" i="67" s="1"/>
  <c r="E37" i="66"/>
  <c r="E31" s="1"/>
  <c r="AD13" i="8" s="1"/>
  <c r="AD35" i="67" s="1"/>
  <c r="C29" i="66"/>
  <c r="F37"/>
  <c r="F31" s="1"/>
  <c r="AE13" i="8" s="1"/>
  <c r="AE35" i="67" s="1"/>
  <c r="D37" i="66"/>
  <c r="D31" s="1"/>
  <c r="C37"/>
  <c r="C31" s="1"/>
  <c r="I37"/>
  <c r="I31" s="1"/>
  <c r="AH13" i="8" s="1"/>
  <c r="AH35" i="67" s="1"/>
  <c r="C38" i="66"/>
  <c r="D35" s="1"/>
  <c r="E31" i="8"/>
  <c r="E18" i="28" s="1"/>
  <c r="D14" i="67"/>
  <c r="D11" s="1"/>
  <c r="E30" i="8"/>
  <c r="D29" i="28"/>
  <c r="P36" i="67"/>
  <c r="B22" i="28"/>
  <c r="D25" i="67" l="1"/>
  <c r="E14"/>
  <c r="E11" s="1"/>
  <c r="F30" i="8"/>
  <c r="F31"/>
  <c r="F18" i="28" s="1"/>
  <c r="D38" i="66"/>
  <c r="E35" s="1"/>
  <c r="D29"/>
  <c r="D32" s="1"/>
  <c r="D22"/>
  <c r="D21" s="1"/>
  <c r="G13" i="8"/>
  <c r="H13"/>
  <c r="J13"/>
  <c r="M13"/>
  <c r="K13"/>
  <c r="I13"/>
  <c r="N13"/>
  <c r="O13"/>
  <c r="L13"/>
  <c r="B3" i="33"/>
  <c r="B25" i="28"/>
  <c r="Z13" i="8"/>
  <c r="Q13"/>
  <c r="Y13"/>
  <c r="S13"/>
  <c r="X13"/>
  <c r="T13"/>
  <c r="U13"/>
  <c r="R13"/>
  <c r="V13"/>
  <c r="AB13"/>
  <c r="AA13"/>
  <c r="W13"/>
  <c r="D30" i="28"/>
  <c r="C7" i="64" s="1"/>
  <c r="C12" s="1"/>
  <c r="C22" i="66"/>
  <c r="C21" s="1"/>
  <c r="C32"/>
  <c r="D9" i="64" l="1"/>
  <c r="E14" i="8" s="1"/>
  <c r="D22" i="67"/>
  <c r="D21" s="1"/>
  <c r="P13" i="8"/>
  <c r="G12" i="67"/>
  <c r="H12" s="1"/>
  <c r="I12" s="1"/>
  <c r="J12" s="1"/>
  <c r="K12" s="1"/>
  <c r="L12" s="1"/>
  <c r="M12" s="1"/>
  <c r="N12" s="1"/>
  <c r="O12" s="1"/>
  <c r="D24"/>
  <c r="AC13" i="8"/>
  <c r="AC35" i="67" s="1"/>
  <c r="H12" i="8"/>
  <c r="H27" s="1"/>
  <c r="H29" s="1"/>
  <c r="K15" i="28"/>
  <c r="O12" i="8"/>
  <c r="O27" s="1"/>
  <c r="O29" s="1"/>
  <c r="J12"/>
  <c r="J27" s="1"/>
  <c r="J29" s="1"/>
  <c r="G15" i="28"/>
  <c r="L12" i="8"/>
  <c r="L27" s="1"/>
  <c r="L29" s="1"/>
  <c r="N12"/>
  <c r="N27" s="1"/>
  <c r="N29" s="1"/>
  <c r="O15" i="28"/>
  <c r="I12" i="8"/>
  <c r="I27" s="1"/>
  <c r="I29" s="1"/>
  <c r="J15" i="28"/>
  <c r="L15"/>
  <c r="N15"/>
  <c r="H15"/>
  <c r="I15"/>
  <c r="M15"/>
  <c r="G12" i="8"/>
  <c r="K12"/>
  <c r="K27" s="1"/>
  <c r="K29" s="1"/>
  <c r="M12"/>
  <c r="M27" s="1"/>
  <c r="M29" s="1"/>
  <c r="W12"/>
  <c r="W27" s="1"/>
  <c r="W29" s="1"/>
  <c r="AA15" i="28"/>
  <c r="Q12" i="8"/>
  <c r="R15" i="28"/>
  <c r="AB15"/>
  <c r="T15"/>
  <c r="Q15"/>
  <c r="U15"/>
  <c r="Y12" i="8"/>
  <c r="Y27" s="1"/>
  <c r="Y29" s="1"/>
  <c r="Z12"/>
  <c r="Z27" s="1"/>
  <c r="Z29" s="1"/>
  <c r="V15" i="28"/>
  <c r="S15"/>
  <c r="V12" i="8"/>
  <c r="V27" s="1"/>
  <c r="V29" s="1"/>
  <c r="T12"/>
  <c r="T27" s="1"/>
  <c r="T29" s="1"/>
  <c r="S12"/>
  <c r="S27" s="1"/>
  <c r="S29" s="1"/>
  <c r="R12"/>
  <c r="R27" s="1"/>
  <c r="R29" s="1"/>
  <c r="AA12"/>
  <c r="AA27" s="1"/>
  <c r="AA29" s="1"/>
  <c r="X15" i="28"/>
  <c r="W15"/>
  <c r="X12" i="8"/>
  <c r="X27" s="1"/>
  <c r="X29" s="1"/>
  <c r="Y15" i="28"/>
  <c r="U12" i="8"/>
  <c r="U27" s="1"/>
  <c r="U29" s="1"/>
  <c r="Z15" i="28"/>
  <c r="AB12" i="8"/>
  <c r="AB27" s="1"/>
  <c r="AB29" s="1"/>
  <c r="E38" i="66"/>
  <c r="F35" s="1"/>
  <c r="E29"/>
  <c r="E32" s="1"/>
  <c r="F14" i="67"/>
  <c r="F11" s="1"/>
  <c r="D28" i="28"/>
  <c r="D34" s="1"/>
  <c r="D35" l="1"/>
  <c r="D36"/>
  <c r="P12" i="67"/>
  <c r="E15" i="8"/>
  <c r="E16" s="1"/>
  <c r="E19" i="67"/>
  <c r="E22" i="66"/>
  <c r="E21" s="1"/>
  <c r="P15" i="28"/>
  <c r="F38" i="66"/>
  <c r="G35" s="1"/>
  <c r="F29"/>
  <c r="F32" s="1"/>
  <c r="F22"/>
  <c r="F21" s="1"/>
  <c r="AC12" i="8"/>
  <c r="Q27"/>
  <c r="G27"/>
  <c r="P12"/>
  <c r="P35" i="67"/>
  <c r="B13" i="8"/>
  <c r="AC15" i="28"/>
  <c r="D16" i="67"/>
  <c r="Q29" i="8" l="1"/>
  <c r="AC29" s="1"/>
  <c r="AC27"/>
  <c r="AE15" i="28"/>
  <c r="AE12" i="8"/>
  <c r="AE27" s="1"/>
  <c r="AE29" s="1"/>
  <c r="G29" i="66"/>
  <c r="G32" s="1"/>
  <c r="G38"/>
  <c r="H35" s="1"/>
  <c r="AD15" i="28"/>
  <c r="AD12" i="8"/>
  <c r="AD27" s="1"/>
  <c r="AD29" s="1"/>
  <c r="E17"/>
  <c r="E18" s="1"/>
  <c r="E26" i="67" s="1"/>
  <c r="E17" i="28"/>
  <c r="E12" s="1"/>
  <c r="E19" s="1"/>
  <c r="Q12" i="67"/>
  <c r="R12" s="1"/>
  <c r="S12" s="1"/>
  <c r="T12" s="1"/>
  <c r="U12" s="1"/>
  <c r="V12" s="1"/>
  <c r="W12" s="1"/>
  <c r="X12" s="1"/>
  <c r="D37" i="28"/>
  <c r="G29" i="8"/>
  <c r="P27"/>
  <c r="E17" i="67"/>
  <c r="D7"/>
  <c r="D6" s="1"/>
  <c r="D5" s="1"/>
  <c r="D28" s="1"/>
  <c r="E7" i="28"/>
  <c r="P29" i="8" l="1"/>
  <c r="G31"/>
  <c r="G30"/>
  <c r="G22" i="66"/>
  <c r="G21" s="1"/>
  <c r="E29" i="28"/>
  <c r="H29" i="66"/>
  <c r="H32" s="1"/>
  <c r="H38"/>
  <c r="I35" s="1"/>
  <c r="Y12" i="67"/>
  <c r="E30" i="28" l="1"/>
  <c r="D7" i="64" s="1"/>
  <c r="D12" s="1"/>
  <c r="E25" i="67"/>
  <c r="E24" s="1"/>
  <c r="G14"/>
  <c r="G11" s="1"/>
  <c r="H31" i="8"/>
  <c r="H18" i="28" s="1"/>
  <c r="H30" i="8"/>
  <c r="H22" i="66"/>
  <c r="H21" s="1"/>
  <c r="I29"/>
  <c r="I32" s="1"/>
  <c r="I38"/>
  <c r="I22" s="1"/>
  <c r="I21" s="1"/>
  <c r="B56" i="33" s="1"/>
  <c r="AF12" i="8"/>
  <c r="AF15" i="28"/>
  <c r="G18"/>
  <c r="Z12" i="67"/>
  <c r="E28" i="28" l="1"/>
  <c r="E34" s="1"/>
  <c r="AH12" i="8"/>
  <c r="AH27" s="1"/>
  <c r="AH29" s="1"/>
  <c r="AH15" i="28"/>
  <c r="AG15"/>
  <c r="AG12" i="8"/>
  <c r="AG27" s="1"/>
  <c r="AG29" s="1"/>
  <c r="E9" i="64"/>
  <c r="F14" i="8" s="1"/>
  <c r="E22" i="67"/>
  <c r="E21" s="1"/>
  <c r="E16" s="1"/>
  <c r="AF27" i="8"/>
  <c r="B12"/>
  <c r="I31"/>
  <c r="I30"/>
  <c r="H14" i="67"/>
  <c r="H11" s="1"/>
  <c r="E35" i="28"/>
  <c r="E36"/>
  <c r="AA12" i="67"/>
  <c r="B15" i="28" l="1"/>
  <c r="E37"/>
  <c r="E7" i="67"/>
  <c r="E6" s="1"/>
  <c r="E5" s="1"/>
  <c r="E28" s="1"/>
  <c r="F7" i="28"/>
  <c r="I18"/>
  <c r="AF29" i="8"/>
  <c r="B27"/>
  <c r="F15"/>
  <c r="F16" s="1"/>
  <c r="F19" i="67"/>
  <c r="F17" s="1"/>
  <c r="B29" i="8"/>
  <c r="J31"/>
  <c r="J18" i="28" s="1"/>
  <c r="I14" i="67"/>
  <c r="I11" s="1"/>
  <c r="J30" i="8"/>
  <c r="AB12" i="67"/>
  <c r="F17" i="8" l="1"/>
  <c r="F18" s="1"/>
  <c r="F26" i="67" s="1"/>
  <c r="F17" i="28"/>
  <c r="F12" s="1"/>
  <c r="F19" s="1"/>
  <c r="K31" i="8"/>
  <c r="K18" i="28" s="1"/>
  <c r="K30" i="8"/>
  <c r="J14" i="67"/>
  <c r="J11" s="1"/>
  <c r="AC12"/>
  <c r="L31" i="8" l="1"/>
  <c r="K14" i="67"/>
  <c r="K11" s="1"/>
  <c r="L30" i="8"/>
  <c r="F29" i="28"/>
  <c r="AD12" i="67"/>
  <c r="M30" i="8" l="1"/>
  <c r="L14" i="67"/>
  <c r="L11" s="1"/>
  <c r="M31" i="8"/>
  <c r="M18" i="28" s="1"/>
  <c r="L18"/>
  <c r="F30"/>
  <c r="E7" i="64" s="1"/>
  <c r="E12" s="1"/>
  <c r="F25" i="67"/>
  <c r="F24" s="1"/>
  <c r="AE12"/>
  <c r="F28" i="28" l="1"/>
  <c r="F34" s="1"/>
  <c r="F36" s="1"/>
  <c r="M14" i="67"/>
  <c r="M11" s="1"/>
  <c r="N31" i="8"/>
  <c r="N18" i="28" s="1"/>
  <c r="N30" i="8"/>
  <c r="F35" i="28"/>
  <c r="F22" i="67"/>
  <c r="F21" s="1"/>
  <c r="F16" s="1"/>
  <c r="F9" i="64"/>
  <c r="G14" i="8" s="1"/>
  <c r="AF12" i="67"/>
  <c r="G15" i="8" l="1"/>
  <c r="G16" s="1"/>
  <c r="G17" s="1"/>
  <c r="G19" i="67"/>
  <c r="G17" s="1"/>
  <c r="G7" i="28"/>
  <c r="F7" i="67"/>
  <c r="F6" s="1"/>
  <c r="F5" s="1"/>
  <c r="F28" s="1"/>
  <c r="O30" i="8"/>
  <c r="N14" i="67"/>
  <c r="N11" s="1"/>
  <c r="O31" i="8"/>
  <c r="F37" i="28"/>
  <c r="G18" i="8"/>
  <c r="AG12" i="67"/>
  <c r="G17" i="28"/>
  <c r="O18" l="1"/>
  <c r="P18" s="1"/>
  <c r="P31" i="8"/>
  <c r="O14" i="67"/>
  <c r="P30" i="8"/>
  <c r="G12" i="28"/>
  <c r="G19" s="1"/>
  <c r="AH12" i="67"/>
  <c r="G26"/>
  <c r="P14" l="1"/>
  <c r="O11"/>
  <c r="Q31" i="8"/>
  <c r="Q30"/>
  <c r="Q18" i="28" l="1"/>
  <c r="P31" i="67"/>
  <c r="P11"/>
  <c r="R31" i="8"/>
  <c r="R18" i="28" s="1"/>
  <c r="R30" i="8"/>
  <c r="Q14" i="67"/>
  <c r="Q11" s="1"/>
  <c r="G25"/>
  <c r="S30" i="8" l="1"/>
  <c r="R14" i="67"/>
  <c r="R11" s="1"/>
  <c r="S31" i="8"/>
  <c r="S18" i="28" s="1"/>
  <c r="F7" i="64"/>
  <c r="G24" i="67"/>
  <c r="G28" i="28"/>
  <c r="G34" s="1"/>
  <c r="S14" i="67" l="1"/>
  <c r="S11" s="1"/>
  <c r="T30" i="8"/>
  <c r="T31"/>
  <c r="G35" i="28"/>
  <c r="G36"/>
  <c r="F12" i="64"/>
  <c r="T18" i="28" l="1"/>
  <c r="U31" i="8"/>
  <c r="U18" i="28" s="1"/>
  <c r="T14" i="67"/>
  <c r="T11" s="1"/>
  <c r="U30" i="8"/>
  <c r="G37" i="28"/>
  <c r="G9" i="64"/>
  <c r="G22" i="67"/>
  <c r="G21" s="1"/>
  <c r="G16" s="1"/>
  <c r="G7"/>
  <c r="G6" s="1"/>
  <c r="G5" s="1"/>
  <c r="H7" i="28"/>
  <c r="U14" i="67" l="1"/>
  <c r="U11" s="1"/>
  <c r="V31" i="8"/>
  <c r="V30"/>
  <c r="G28" i="67"/>
  <c r="H14" i="8"/>
  <c r="V14" i="67" l="1"/>
  <c r="V11" s="1"/>
  <c r="W30" i="8"/>
  <c r="W31"/>
  <c r="W18" i="28" s="1"/>
  <c r="V18"/>
  <c r="H15" i="8"/>
  <c r="H19" i="67"/>
  <c r="X30" i="8" l="1"/>
  <c r="W14" i="67"/>
  <c r="W11" s="1"/>
  <c r="X31" i="8"/>
  <c r="H17" i="67"/>
  <c r="H16" i="8"/>
  <c r="X18" i="28" l="1"/>
  <c r="Y30" i="8"/>
  <c r="X14" i="67"/>
  <c r="X11" s="1"/>
  <c r="Y31" i="8"/>
  <c r="Y18" i="28" s="1"/>
  <c r="H17"/>
  <c r="H17" i="8"/>
  <c r="Z31" l="1"/>
  <c r="Z18" i="28" s="1"/>
  <c r="Z30" i="8"/>
  <c r="Y14" i="67"/>
  <c r="Y11" s="1"/>
  <c r="H18" i="8"/>
  <c r="H12" i="28"/>
  <c r="H19" s="1"/>
  <c r="AA31" i="8" l="1"/>
  <c r="AA18" i="28" s="1"/>
  <c r="Z14" i="67"/>
  <c r="Z11" s="1"/>
  <c r="AA30" i="8"/>
  <c r="H26" i="67"/>
  <c r="AB30" i="8" l="1"/>
  <c r="AB31"/>
  <c r="AA14" i="67"/>
  <c r="AA11" s="1"/>
  <c r="P29" i="28"/>
  <c r="H25" i="67"/>
  <c r="H28" i="28"/>
  <c r="H34" s="1"/>
  <c r="AC30" i="8" l="1"/>
  <c r="AD31" s="1"/>
  <c r="AB14" i="67"/>
  <c r="AB18" i="28"/>
  <c r="AC18" s="1"/>
  <c r="AC31" i="8"/>
  <c r="H24" i="67"/>
  <c r="I25"/>
  <c r="H36" i="28"/>
  <c r="H35"/>
  <c r="G7" i="64"/>
  <c r="P30" i="28"/>
  <c r="B30" s="1"/>
  <c r="B9" i="33" s="1"/>
  <c r="B29" i="28"/>
  <c r="AD30" i="8" l="1"/>
  <c r="AD18" i="28"/>
  <c r="AC14" i="67"/>
  <c r="AB11"/>
  <c r="P28" i="28"/>
  <c r="AI40" s="1"/>
  <c r="B28"/>
  <c r="B8" i="33"/>
  <c r="O7" i="64"/>
  <c r="B7" s="1"/>
  <c r="G12"/>
  <c r="I7" i="28"/>
  <c r="H7" i="67"/>
  <c r="H6" s="1"/>
  <c r="H5" s="1"/>
  <c r="J25"/>
  <c r="H37" i="28"/>
  <c r="AE31" i="8" l="1"/>
  <c r="AE33" s="1"/>
  <c r="AD33"/>
  <c r="AD34" s="1"/>
  <c r="AC11" i="67"/>
  <c r="AC31"/>
  <c r="AD14"/>
  <c r="AE30" i="8"/>
  <c r="AF31" s="1"/>
  <c r="AF33" s="1"/>
  <c r="B4" i="33"/>
  <c r="B5" s="1"/>
  <c r="K25" i="67"/>
  <c r="AI46" i="28"/>
  <c r="AS46"/>
  <c r="AM46"/>
  <c r="AP46"/>
  <c r="AQ46"/>
  <c r="AR46"/>
  <c r="AJ46"/>
  <c r="AN46"/>
  <c r="AL46"/>
  <c r="AK46"/>
  <c r="AO46"/>
  <c r="H9" i="64"/>
  <c r="H12"/>
  <c r="H22" i="67"/>
  <c r="H21" s="1"/>
  <c r="H16" s="1"/>
  <c r="H28" s="1"/>
  <c r="B10" i="33"/>
  <c r="D9" s="1"/>
  <c r="AE34" i="8" l="1"/>
  <c r="AF34" s="1"/>
  <c r="AG34" s="1"/>
  <c r="AF30"/>
  <c r="AG31" s="1"/>
  <c r="AG33" s="1"/>
  <c r="AF18" i="28"/>
  <c r="AE14" i="67"/>
  <c r="AE18" i="28"/>
  <c r="AD11" i="67"/>
  <c r="AD31"/>
  <c r="D8" i="33"/>
  <c r="D10" s="1"/>
  <c r="I22" i="67"/>
  <c r="I21" s="1"/>
  <c r="I12" i="64"/>
  <c r="I9"/>
  <c r="J14" i="8" s="1"/>
  <c r="J15" s="1"/>
  <c r="L25" i="67"/>
  <c r="I14" i="8"/>
  <c r="AE11" i="67" l="1"/>
  <c r="AE31"/>
  <c r="AG30" i="8"/>
  <c r="AH31" s="1"/>
  <c r="AH33" s="1"/>
  <c r="AH34" s="1"/>
  <c r="AF14" i="67"/>
  <c r="AG18" i="28"/>
  <c r="M25" i="67"/>
  <c r="I15" i="8"/>
  <c r="I19" i="67"/>
  <c r="J9" i="64"/>
  <c r="K14" i="8" s="1"/>
  <c r="K15" s="1"/>
  <c r="J22" i="67"/>
  <c r="J21" s="1"/>
  <c r="J12" i="64"/>
  <c r="AG14" i="67" l="1"/>
  <c r="AH30" i="8"/>
  <c r="AF31" i="67"/>
  <c r="AF11"/>
  <c r="J19"/>
  <c r="I17"/>
  <c r="I16" i="8"/>
  <c r="K22" i="67"/>
  <c r="K21" s="1"/>
  <c r="K9" i="64"/>
  <c r="N25" i="67"/>
  <c r="AH18" i="28" l="1"/>
  <c r="B18" s="1"/>
  <c r="B54" i="33" s="1"/>
  <c r="B31" i="8"/>
  <c r="AG31" i="67"/>
  <c r="AG11"/>
  <c r="AH14"/>
  <c r="B30" i="8"/>
  <c r="O25" i="67"/>
  <c r="I17" i="28"/>
  <c r="K19" i="67"/>
  <c r="J17"/>
  <c r="L14" i="8"/>
  <c r="L15" s="1"/>
  <c r="K8" i="64"/>
  <c r="I17" i="8"/>
  <c r="AH11" i="67" l="1"/>
  <c r="AH31"/>
  <c r="K17"/>
  <c r="L19"/>
  <c r="I12" i="28"/>
  <c r="I19" s="1"/>
  <c r="P25" i="67"/>
  <c r="I18" i="8"/>
  <c r="O8" i="64"/>
  <c r="B8" s="1"/>
  <c r="K12"/>
  <c r="Q25" i="67" l="1"/>
  <c r="I35" i="28"/>
  <c r="I36"/>
  <c r="AA10" i="64"/>
  <c r="AB33" i="28" s="1"/>
  <c r="AB31" s="1"/>
  <c r="AB34" s="1"/>
  <c r="V10" i="64"/>
  <c r="W33" i="28" s="1"/>
  <c r="W31" s="1"/>
  <c r="W34" s="1"/>
  <c r="L10" i="64"/>
  <c r="CH10"/>
  <c r="AC10"/>
  <c r="BE10"/>
  <c r="CD10"/>
  <c r="AN10"/>
  <c r="AF10"/>
  <c r="AP10"/>
  <c r="AG10"/>
  <c r="CJ10"/>
  <c r="CC10"/>
  <c r="L9"/>
  <c r="R10"/>
  <c r="S33" i="28" s="1"/>
  <c r="S31" s="1"/>
  <c r="S34" s="1"/>
  <c r="BJ10" i="64"/>
  <c r="AU10"/>
  <c r="BF10"/>
  <c r="CN10"/>
  <c r="BG10"/>
  <c r="BI10"/>
  <c r="AX10"/>
  <c r="X10"/>
  <c r="Y33" i="28" s="1"/>
  <c r="Y31" s="1"/>
  <c r="Y34" s="1"/>
  <c r="M10" i="64"/>
  <c r="N33" i="28" s="1"/>
  <c r="N31" s="1"/>
  <c r="N34" s="1"/>
  <c r="CK10" i="64"/>
  <c r="CI10"/>
  <c r="BN10"/>
  <c r="AD10"/>
  <c r="AM10"/>
  <c r="BK10"/>
  <c r="AW10"/>
  <c r="AS10"/>
  <c r="BA10"/>
  <c r="AQ10"/>
  <c r="AY10"/>
  <c r="N10"/>
  <c r="O33" i="28" s="1"/>
  <c r="O31" s="1"/>
  <c r="O34" s="1"/>
  <c r="U10" i="64"/>
  <c r="V33" i="28" s="1"/>
  <c r="V31" s="1"/>
  <c r="V34" s="1"/>
  <c r="AH10" i="64"/>
  <c r="CL10"/>
  <c r="BV10"/>
  <c r="BH10"/>
  <c r="AT10"/>
  <c r="BM10"/>
  <c r="BT10"/>
  <c r="AJ10"/>
  <c r="AL10"/>
  <c r="CM10"/>
  <c r="T10"/>
  <c r="U33" i="28" s="1"/>
  <c r="U31" s="1"/>
  <c r="U34" s="1"/>
  <c r="CF10" i="64"/>
  <c r="BL10"/>
  <c r="BP10"/>
  <c r="W10"/>
  <c r="X33" i="28" s="1"/>
  <c r="X31" s="1"/>
  <c r="X34" s="1"/>
  <c r="BX10" i="64"/>
  <c r="BQ10"/>
  <c r="AV10"/>
  <c r="BZ10"/>
  <c r="BD10"/>
  <c r="Y10"/>
  <c r="Z33" i="28" s="1"/>
  <c r="Z31" s="1"/>
  <c r="Z34" s="1"/>
  <c r="CG10" i="64"/>
  <c r="BS10"/>
  <c r="AE10"/>
  <c r="BU10"/>
  <c r="AK10"/>
  <c r="CA10"/>
  <c r="BC10"/>
  <c r="BY10"/>
  <c r="Q10"/>
  <c r="R33" i="28" s="1"/>
  <c r="R31" s="1"/>
  <c r="R34" s="1"/>
  <c r="BW10" i="64"/>
  <c r="AR10"/>
  <c r="AZ10"/>
  <c r="AI10"/>
  <c r="P10"/>
  <c r="CE10"/>
  <c r="L22" i="67"/>
  <c r="L21" s="1"/>
  <c r="Z10" i="64"/>
  <c r="AA33" i="28" s="1"/>
  <c r="AA31" s="1"/>
  <c r="AA34" s="1"/>
  <c r="S10" i="64"/>
  <c r="T33" i="28" s="1"/>
  <c r="T31" s="1"/>
  <c r="T34" s="1"/>
  <c r="BR10" i="64"/>
  <c r="I26" i="67"/>
  <c r="I24" s="1"/>
  <c r="I16" s="1"/>
  <c r="J16" i="8"/>
  <c r="L17" i="67"/>
  <c r="I37" i="28" l="1"/>
  <c r="J17"/>
  <c r="J12" s="1"/>
  <c r="J19" s="1"/>
  <c r="J35" s="1"/>
  <c r="J17" i="8"/>
  <c r="J18" s="1"/>
  <c r="Q33" i="28"/>
  <c r="AB10" i="64"/>
  <c r="M33" i="28"/>
  <c r="O10" i="64"/>
  <c r="R25" i="67"/>
  <c r="L11" i="64"/>
  <c r="M14" i="8"/>
  <c r="J7" i="28"/>
  <c r="I7" i="67"/>
  <c r="I6" s="1"/>
  <c r="I5" s="1"/>
  <c r="I28" s="1"/>
  <c r="CO10" i="64"/>
  <c r="AH33" i="28" s="1"/>
  <c r="AH31" s="1"/>
  <c r="AH34" s="1"/>
  <c r="AO10" i="64"/>
  <c r="AD33" i="28" s="1"/>
  <c r="AD31" s="1"/>
  <c r="AD34" s="1"/>
  <c r="BO10" i="64"/>
  <c r="AF33" i="28" s="1"/>
  <c r="AF31" s="1"/>
  <c r="AF34" s="1"/>
  <c r="CB10" i="64"/>
  <c r="AG33" i="28" s="1"/>
  <c r="AG31" s="1"/>
  <c r="AG34" s="1"/>
  <c r="L12" i="64"/>
  <c r="BB10"/>
  <c r="AE33" i="28" s="1"/>
  <c r="AE31" s="1"/>
  <c r="AE34" s="1"/>
  <c r="M9" i="64" l="1"/>
  <c r="M12"/>
  <c r="M22" i="67"/>
  <c r="M21" s="1"/>
  <c r="J36" i="28"/>
  <c r="M16"/>
  <c r="M31"/>
  <c r="M34" s="1"/>
  <c r="P33"/>
  <c r="Q31"/>
  <c r="Q34" s="1"/>
  <c r="AC33"/>
  <c r="AC31" s="1"/>
  <c r="AC34" s="1"/>
  <c r="M15" i="8"/>
  <c r="M19" i="67"/>
  <c r="S25"/>
  <c r="J26"/>
  <c r="J24" s="1"/>
  <c r="J16" s="1"/>
  <c r="K16" i="8"/>
  <c r="B10" i="64"/>
  <c r="A16" s="1"/>
  <c r="M17" i="67" l="1"/>
  <c r="B33" i="28"/>
  <c r="B31" s="1"/>
  <c r="B34" s="1"/>
  <c r="P31"/>
  <c r="P34" s="1"/>
  <c r="J7" i="67"/>
  <c r="J6" s="1"/>
  <c r="J5" s="1"/>
  <c r="J28" s="1"/>
  <c r="K7" i="28"/>
  <c r="N14" i="8"/>
  <c r="N15" s="1"/>
  <c r="M11" i="64"/>
  <c r="K17" i="28"/>
  <c r="K12" s="1"/>
  <c r="K19" s="1"/>
  <c r="K35" s="1"/>
  <c r="K17" i="8"/>
  <c r="K18" s="1"/>
  <c r="T25" i="67"/>
  <c r="N9" i="64"/>
  <c r="N22" i="67"/>
  <c r="N21" s="1"/>
  <c r="N12" i="64"/>
  <c r="J37" i="28"/>
  <c r="K26" i="67" l="1"/>
  <c r="K24" s="1"/>
  <c r="K16" s="1"/>
  <c r="L16" i="8"/>
  <c r="N16" i="28"/>
  <c r="O22" i="67"/>
  <c r="O21" s="1"/>
  <c r="O12" i="64"/>
  <c r="O14" i="8"/>
  <c r="N11" i="64"/>
  <c r="O16" i="28" s="1"/>
  <c r="O9" i="64"/>
  <c r="U25" i="67"/>
  <c r="K36" i="28"/>
  <c r="N19" i="67"/>
  <c r="K7" l="1"/>
  <c r="K6" s="1"/>
  <c r="K5" s="1"/>
  <c r="K28" s="1"/>
  <c r="L7" i="28"/>
  <c r="V25" i="67"/>
  <c r="P9" i="64"/>
  <c r="P12"/>
  <c r="P22" i="67"/>
  <c r="P21" s="1"/>
  <c r="L17" i="28"/>
  <c r="L12" s="1"/>
  <c r="L19" s="1"/>
  <c r="L35" s="1"/>
  <c r="L17" i="8"/>
  <c r="L18" s="1"/>
  <c r="O19" i="67"/>
  <c r="N17"/>
  <c r="O15" i="8"/>
  <c r="P14"/>
  <c r="P16" i="28"/>
  <c r="O11" i="64"/>
  <c r="K37" i="28"/>
  <c r="B7" i="61" l="1"/>
  <c r="L26" i="67"/>
  <c r="L24" s="1"/>
  <c r="L16" s="1"/>
  <c r="M16" i="8"/>
  <c r="P11" i="64"/>
  <c r="Q14" i="8"/>
  <c r="W25" i="67"/>
  <c r="P15" i="8"/>
  <c r="P19" i="67"/>
  <c r="O17"/>
  <c r="Q12" i="64"/>
  <c r="Q22" i="67"/>
  <c r="Q21" s="1"/>
  <c r="Q9" i="64"/>
  <c r="L36" i="28"/>
  <c r="L7" i="67" l="1"/>
  <c r="L6" s="1"/>
  <c r="L5" s="1"/>
  <c r="L28" s="1"/>
  <c r="M7" i="28"/>
  <c r="X25" i="67"/>
  <c r="Q15" i="8"/>
  <c r="M17" i="28"/>
  <c r="M12" s="1"/>
  <c r="M19" s="1"/>
  <c r="M35" s="1"/>
  <c r="M17" i="8"/>
  <c r="M18" s="1"/>
  <c r="B6" i="61"/>
  <c r="B5" s="1"/>
  <c r="B11"/>
  <c r="B12" s="1"/>
  <c r="B13" s="1"/>
  <c r="Q11" i="64"/>
  <c r="R16" i="28" s="1"/>
  <c r="R14" i="8"/>
  <c r="R15" s="1"/>
  <c r="R9" i="64"/>
  <c r="R12"/>
  <c r="R22" i="67"/>
  <c r="R21" s="1"/>
  <c r="P17"/>
  <c r="P33" s="1"/>
  <c r="P34" s="1"/>
  <c r="Q16" i="28"/>
  <c r="L37"/>
  <c r="S14" i="8" l="1"/>
  <c r="R11" i="64"/>
  <c r="S16" i="28" s="1"/>
  <c r="S22" i="67"/>
  <c r="S21" s="1"/>
  <c r="S12" i="64"/>
  <c r="S9"/>
  <c r="M26" i="67"/>
  <c r="M24" s="1"/>
  <c r="M16" s="1"/>
  <c r="N16" i="8"/>
  <c r="Y25" i="67"/>
  <c r="M36" i="28"/>
  <c r="M37" s="1"/>
  <c r="Q19" i="67"/>
  <c r="T14" i="8" l="1"/>
  <c r="T15" s="1"/>
  <c r="S11" i="64"/>
  <c r="S15" i="8"/>
  <c r="Q17" i="67"/>
  <c r="R19"/>
  <c r="M7"/>
  <c r="M6" s="1"/>
  <c r="M5" s="1"/>
  <c r="M28" s="1"/>
  <c r="N7" i="28"/>
  <c r="Z25" i="67"/>
  <c r="N17" i="28"/>
  <c r="N12" s="1"/>
  <c r="N19" s="1"/>
  <c r="N35" s="1"/>
  <c r="N17" i="8"/>
  <c r="N18" s="1"/>
  <c r="T12" i="64"/>
  <c r="T22" i="67"/>
  <c r="T21" s="1"/>
  <c r="T9" i="64"/>
  <c r="N26" i="67" l="1"/>
  <c r="N24" s="1"/>
  <c r="N16" s="1"/>
  <c r="O16" i="8"/>
  <c r="N36" i="28"/>
  <c r="N37" s="1"/>
  <c r="S19" i="67"/>
  <c r="R17"/>
  <c r="U14" i="8"/>
  <c r="T11" i="64"/>
  <c r="U16" i="28" s="1"/>
  <c r="U9" i="64"/>
  <c r="U22" i="67"/>
  <c r="U21" s="1"/>
  <c r="U12" i="64"/>
  <c r="AA25" i="67"/>
  <c r="T16" i="28"/>
  <c r="O17" l="1"/>
  <c r="P16" i="8"/>
  <c r="O17"/>
  <c r="AB25" i="67"/>
  <c r="V12" i="64"/>
  <c r="V22" i="67"/>
  <c r="V21" s="1"/>
  <c r="V9" i="64"/>
  <c r="U11"/>
  <c r="V14" i="8"/>
  <c r="V15" s="1"/>
  <c r="U15"/>
  <c r="T19" i="67"/>
  <c r="S17"/>
  <c r="N7"/>
  <c r="N6" s="1"/>
  <c r="N5" s="1"/>
  <c r="N28" s="1"/>
  <c r="O7" i="28"/>
  <c r="V16" l="1"/>
  <c r="AC25" i="67"/>
  <c r="P17" i="8"/>
  <c r="O18"/>
  <c r="P17" i="28"/>
  <c r="O12"/>
  <c r="O19" s="1"/>
  <c r="O35" s="1"/>
  <c r="T17" i="67"/>
  <c r="U19"/>
  <c r="V11" i="64"/>
  <c r="W16" i="28" s="1"/>
  <c r="W14" i="8"/>
  <c r="W22" i="67"/>
  <c r="W21" s="1"/>
  <c r="W9" i="64"/>
  <c r="W12"/>
  <c r="O36" i="28" l="1"/>
  <c r="O37" s="1"/>
  <c r="X14" i="8"/>
  <c r="X15" s="1"/>
  <c r="W11" i="64"/>
  <c r="X16" i="28" s="1"/>
  <c r="W15" i="8"/>
  <c r="P12" i="28"/>
  <c r="AD25" i="67"/>
  <c r="P36" i="28"/>
  <c r="X22" i="67"/>
  <c r="X21" s="1"/>
  <c r="X12" i="64"/>
  <c r="X9"/>
  <c r="V19" i="67"/>
  <c r="U17"/>
  <c r="O26"/>
  <c r="O24" s="1"/>
  <c r="O16" s="1"/>
  <c r="P18" i="8"/>
  <c r="O7" i="67" l="1"/>
  <c r="O6" s="1"/>
  <c r="O5" s="1"/>
  <c r="W19"/>
  <c r="V17"/>
  <c r="Y22"/>
  <c r="Y21" s="1"/>
  <c r="Y9" i="64"/>
  <c r="Y12"/>
  <c r="P19" i="28"/>
  <c r="P35" s="1"/>
  <c r="P26" i="67"/>
  <c r="Q16" i="8"/>
  <c r="X11" i="64"/>
  <c r="Y16" i="28" s="1"/>
  <c r="Y14" i="8"/>
  <c r="Q7" i="28"/>
  <c r="P7" i="67"/>
  <c r="P6" s="1"/>
  <c r="P5" s="1"/>
  <c r="AE25"/>
  <c r="O28"/>
  <c r="AC7" i="28" l="1"/>
  <c r="P30" i="67"/>
  <c r="P37" s="1"/>
  <c r="P24"/>
  <c r="P16" s="1"/>
  <c r="P28" s="1"/>
  <c r="AI38" i="28"/>
  <c r="AI39" s="1"/>
  <c r="P39" i="67"/>
  <c r="Z9" i="64"/>
  <c r="Z12"/>
  <c r="Z22" i="67"/>
  <c r="Z21" s="1"/>
  <c r="X19"/>
  <c r="W17"/>
  <c r="AF25"/>
  <c r="Y15" i="8"/>
  <c r="Q17" i="28"/>
  <c r="Q17" i="8"/>
  <c r="Y11" i="64"/>
  <c r="Z16" i="28" s="1"/>
  <c r="Z14" i="8"/>
  <c r="Z15" s="1"/>
  <c r="Q18" l="1"/>
  <c r="Q12" i="28"/>
  <c r="Q19" s="1"/>
  <c r="X17" i="67"/>
  <c r="Y19"/>
  <c r="AA22"/>
  <c r="AA21" s="1"/>
  <c r="AA9" i="64"/>
  <c r="AA12"/>
  <c r="AI41" i="28"/>
  <c r="AI45"/>
  <c r="AG25" i="67"/>
  <c r="AA14" i="8"/>
  <c r="AA15" s="1"/>
  <c r="Z11" i="64"/>
  <c r="AA16" i="28" s="1"/>
  <c r="P40" i="67"/>
  <c r="AH25" l="1"/>
  <c r="AG49" i="28"/>
  <c r="AI42"/>
  <c r="AI44" s="1"/>
  <c r="AI43"/>
  <c r="AI49"/>
  <c r="AB14" i="8"/>
  <c r="AA11" i="64"/>
  <c r="AB9"/>
  <c r="Z19" i="67"/>
  <c r="Y17"/>
  <c r="AI48" i="28"/>
  <c r="AI47"/>
  <c r="AB22" i="67"/>
  <c r="AB21" s="1"/>
  <c r="AB12" i="64"/>
  <c r="Q35" i="28"/>
  <c r="Q36"/>
  <c r="Q26" i="67"/>
  <c r="Q24" s="1"/>
  <c r="Q16" s="1"/>
  <c r="R16" i="8"/>
  <c r="Q37" i="28" l="1"/>
  <c r="R17"/>
  <c r="R17" i="8"/>
  <c r="AA19" i="67"/>
  <c r="Z17"/>
  <c r="AB16" i="28"/>
  <c r="AB11" i="64"/>
  <c r="R7" i="28"/>
  <c r="Q7" i="67"/>
  <c r="Q6" s="1"/>
  <c r="Q5" s="1"/>
  <c r="Q28" s="1"/>
  <c r="AC12" i="64"/>
  <c r="AC22" i="67"/>
  <c r="AC21" s="1"/>
  <c r="AC9" i="64"/>
  <c r="AB15" i="8"/>
  <c r="AC14"/>
  <c r="C7" i="61" l="1"/>
  <c r="AC11" i="64"/>
  <c r="AD9"/>
  <c r="AD11" s="1"/>
  <c r="AD12"/>
  <c r="R12" i="28"/>
  <c r="R19" s="1"/>
  <c r="AC15" i="8"/>
  <c r="AC16" i="28"/>
  <c r="AA17" i="67"/>
  <c r="AB19"/>
  <c r="R18" i="8"/>
  <c r="R26" i="67" l="1"/>
  <c r="R24" s="1"/>
  <c r="R16" s="1"/>
  <c r="S16" i="8"/>
  <c r="AC19" i="67"/>
  <c r="AB17"/>
  <c r="R35" i="28"/>
  <c r="R36"/>
  <c r="C11" i="61"/>
  <c r="C12" s="1"/>
  <c r="C13" s="1"/>
  <c r="C6"/>
  <c r="C5" s="1"/>
  <c r="AE9" i="64"/>
  <c r="AE11" s="1"/>
  <c r="AE12"/>
  <c r="AF9" l="1"/>
  <c r="AF12"/>
  <c r="R7" i="67"/>
  <c r="R6" s="1"/>
  <c r="R5" s="1"/>
  <c r="R28" s="1"/>
  <c r="S7" i="28"/>
  <c r="S17"/>
  <c r="S17" i="8"/>
  <c r="AC17" i="67"/>
  <c r="AC33" s="1"/>
  <c r="AC34" s="1"/>
  <c r="R37" i="28"/>
  <c r="S18" i="8" l="1"/>
  <c r="AF11" i="64"/>
  <c r="S12" i="28"/>
  <c r="S19" s="1"/>
  <c r="AG9" i="64"/>
  <c r="AG11" s="1"/>
  <c r="AG12"/>
  <c r="S35" i="28" l="1"/>
  <c r="S36"/>
  <c r="AH9" i="64"/>
  <c r="AH11" s="1"/>
  <c r="AH12"/>
  <c r="S26" i="67"/>
  <c r="S24" s="1"/>
  <c r="S16" s="1"/>
  <c r="T16" i="8"/>
  <c r="S37" i="28" l="1"/>
  <c r="T17"/>
  <c r="T17" i="8"/>
  <c r="AI12" i="64"/>
  <c r="AI9"/>
  <c r="S7" i="67"/>
  <c r="S6" s="1"/>
  <c r="S5" s="1"/>
  <c r="S28" s="1"/>
  <c r="T7" i="28"/>
  <c r="AJ12" i="64" l="1"/>
  <c r="AJ9"/>
  <c r="AJ11" s="1"/>
  <c r="T18" i="8"/>
  <c r="AI11" i="64"/>
  <c r="T12" i="28"/>
  <c r="T19" s="1"/>
  <c r="T35" l="1"/>
  <c r="T36"/>
  <c r="AK12" i="64"/>
  <c r="AK9"/>
  <c r="AK11" s="1"/>
  <c r="T26" i="67"/>
  <c r="T24" s="1"/>
  <c r="T16" s="1"/>
  <c r="U16" i="8"/>
  <c r="T37" i="28" l="1"/>
  <c r="U17"/>
  <c r="U17" i="8"/>
  <c r="AL9" i="64"/>
  <c r="AL11" s="1"/>
  <c r="AL12"/>
  <c r="T7" i="67"/>
  <c r="T6" s="1"/>
  <c r="T5" s="1"/>
  <c r="T28" s="1"/>
  <c r="U7" i="28"/>
  <c r="AM9" i="64" l="1"/>
  <c r="AM11" s="1"/>
  <c r="AM12"/>
  <c r="U12" i="28"/>
  <c r="U19" s="1"/>
  <c r="U18" i="8"/>
  <c r="U35" i="28" l="1"/>
  <c r="U36"/>
  <c r="U26" i="67"/>
  <c r="U24" s="1"/>
  <c r="U16" s="1"/>
  <c r="V16" i="8"/>
  <c r="AN12" i="64"/>
  <c r="AO12" s="1"/>
  <c r="AN9"/>
  <c r="U37" i="28" l="1"/>
  <c r="AN11" i="64"/>
  <c r="AO11" s="1"/>
  <c r="AO9"/>
  <c r="V17" i="28"/>
  <c r="V12" s="1"/>
  <c r="V19" s="1"/>
  <c r="V35" s="1"/>
  <c r="V17" i="8"/>
  <c r="V18" s="1"/>
  <c r="AP9" i="64"/>
  <c r="AP12"/>
  <c r="AD22" i="67"/>
  <c r="AD21" s="1"/>
  <c r="U7"/>
  <c r="U6" s="1"/>
  <c r="U5" s="1"/>
  <c r="U28" s="1"/>
  <c r="V7" i="28"/>
  <c r="AP11" i="64" l="1"/>
  <c r="AD16" i="28"/>
  <c r="AQ12" i="64"/>
  <c r="AQ9"/>
  <c r="AQ11" s="1"/>
  <c r="V26" i="67"/>
  <c r="V24" s="1"/>
  <c r="V16" s="1"/>
  <c r="W16" i="8"/>
  <c r="AD14"/>
  <c r="V36" i="28"/>
  <c r="V7" i="67" l="1"/>
  <c r="V6" s="1"/>
  <c r="V5" s="1"/>
  <c r="V28" s="1"/>
  <c r="W7" i="28"/>
  <c r="W17"/>
  <c r="W12" s="1"/>
  <c r="W19" s="1"/>
  <c r="W35" s="1"/>
  <c r="W17" i="8"/>
  <c r="W18" s="1"/>
  <c r="AR9" i="64"/>
  <c r="AR11" s="1"/>
  <c r="AR12"/>
  <c r="D7" i="61"/>
  <c r="AD15" i="8"/>
  <c r="AD19" i="67"/>
  <c r="V37" i="28"/>
  <c r="AD17" i="67" l="1"/>
  <c r="AD33" s="1"/>
  <c r="AD34" s="1"/>
  <c r="AS12" i="64"/>
  <c r="AS9"/>
  <c r="W26" i="67"/>
  <c r="W24" s="1"/>
  <c r="W16" s="1"/>
  <c r="X16" i="8"/>
  <c r="D6" i="61"/>
  <c r="D5" s="1"/>
  <c r="D11"/>
  <c r="D12" s="1"/>
  <c r="D13" s="1"/>
  <c r="W36" i="28"/>
  <c r="W37" s="1"/>
  <c r="AS11" i="64" l="1"/>
  <c r="W7" i="67"/>
  <c r="W6" s="1"/>
  <c r="W5" s="1"/>
  <c r="W28" s="1"/>
  <c r="X7" i="28"/>
  <c r="X17"/>
  <c r="X12" s="1"/>
  <c r="X19" s="1"/>
  <c r="X35" s="1"/>
  <c r="X17" i="8"/>
  <c r="X18" s="1"/>
  <c r="AT9" i="64"/>
  <c r="AT11" s="1"/>
  <c r="AT12"/>
  <c r="X36" i="28" l="1"/>
  <c r="Y7" s="1"/>
  <c r="AU12" i="64"/>
  <c r="AU9"/>
  <c r="AU11" s="1"/>
  <c r="X26" i="67"/>
  <c r="X24" s="1"/>
  <c r="X16" s="1"/>
  <c r="Y16" i="8"/>
  <c r="X7" i="67" l="1"/>
  <c r="X6" s="1"/>
  <c r="X5" s="1"/>
  <c r="X28" s="1"/>
  <c r="X37" i="28"/>
  <c r="Y17"/>
  <c r="Y12" s="1"/>
  <c r="Y19" s="1"/>
  <c r="Y17" i="8"/>
  <c r="Y18" s="1"/>
  <c r="AV9" i="64"/>
  <c r="AV12"/>
  <c r="AV11" l="1"/>
  <c r="Y35" i="28"/>
  <c r="Y36"/>
  <c r="AW9" i="64"/>
  <c r="AW11" s="1"/>
  <c r="AW12"/>
  <c r="Y26" i="67"/>
  <c r="Y24" s="1"/>
  <c r="Y16" s="1"/>
  <c r="Z16" i="8"/>
  <c r="Y37" i="28" l="1"/>
  <c r="Z17"/>
  <c r="Z12" s="1"/>
  <c r="Z19" s="1"/>
  <c r="Z35" s="1"/>
  <c r="Z17" i="8"/>
  <c r="Z18" s="1"/>
  <c r="AX9" i="64"/>
  <c r="AX11" s="1"/>
  <c r="AX12"/>
  <c r="Y7" i="67"/>
  <c r="Y6" s="1"/>
  <c r="Y5" s="1"/>
  <c r="Y28" s="1"/>
  <c r="Z7" i="28"/>
  <c r="Z36" l="1"/>
  <c r="Z7" i="67" s="1"/>
  <c r="Z6" s="1"/>
  <c r="Z5" s="1"/>
  <c r="AY9" i="64"/>
  <c r="AY11" s="1"/>
  <c r="AY12"/>
  <c r="Z26" i="67"/>
  <c r="Z24" s="1"/>
  <c r="Z16" s="1"/>
  <c r="AA16" i="8"/>
  <c r="AA7" i="28" l="1"/>
  <c r="Z37"/>
  <c r="AZ9" i="64"/>
  <c r="AZ11" s="1"/>
  <c r="AZ12"/>
  <c r="AA17" i="28"/>
  <c r="AA12" s="1"/>
  <c r="AA19" s="1"/>
  <c r="AA17" i="8"/>
  <c r="AA18" s="1"/>
  <c r="Z28" i="67"/>
  <c r="AA35" i="28" l="1"/>
  <c r="AA36"/>
  <c r="AA26" i="67"/>
  <c r="AA24" s="1"/>
  <c r="AA16" s="1"/>
  <c r="AB16" i="8"/>
  <c r="BA9" i="64"/>
  <c r="BA12"/>
  <c r="BB12" s="1"/>
  <c r="AA37" i="28" l="1"/>
  <c r="BC12" i="64"/>
  <c r="AE22" i="67"/>
  <c r="AE21" s="1"/>
  <c r="BC9" i="64"/>
  <c r="AB17" i="28"/>
  <c r="AB17" i="8"/>
  <c r="AC16"/>
  <c r="BA11" i="64"/>
  <c r="BB11" s="1"/>
  <c r="BB9"/>
  <c r="AB7" i="28"/>
  <c r="AA7" i="67"/>
  <c r="AA6" s="1"/>
  <c r="AA5" s="1"/>
  <c r="AA28" s="1"/>
  <c r="BD9" i="64" l="1"/>
  <c r="BD11" s="1"/>
  <c r="BD12"/>
  <c r="AE16" i="28"/>
  <c r="AC17" i="8"/>
  <c r="AB18"/>
  <c r="BC11" i="64"/>
  <c r="AE14" i="8"/>
  <c r="AB12" i="28"/>
  <c r="AB19" s="1"/>
  <c r="AC17"/>
  <c r="AB35" l="1"/>
  <c r="AB36"/>
  <c r="E7" i="61"/>
  <c r="AE15" i="8"/>
  <c r="AE19" i="67"/>
  <c r="AC12" i="28"/>
  <c r="AC18" i="8"/>
  <c r="AB26" i="67"/>
  <c r="AB24" s="1"/>
  <c r="AB16" s="1"/>
  <c r="BE12" i="64"/>
  <c r="BE9"/>
  <c r="BE11" s="1"/>
  <c r="AB37" i="28" l="1"/>
  <c r="BF12" i="64"/>
  <c r="BF9"/>
  <c r="AC26" i="67"/>
  <c r="AD16" i="8"/>
  <c r="E11" i="61"/>
  <c r="E12" s="1"/>
  <c r="E13" s="1"/>
  <c r="E6"/>
  <c r="E5" s="1"/>
  <c r="AC19" i="28"/>
  <c r="AC35" s="1"/>
  <c r="AE17" i="67"/>
  <c r="AE33" s="1"/>
  <c r="AE34" s="1"/>
  <c r="AB7"/>
  <c r="AB6" s="1"/>
  <c r="AB5" s="1"/>
  <c r="AB28" s="1"/>
  <c r="AC36" i="28"/>
  <c r="AD17" l="1"/>
  <c r="AD17" i="8"/>
  <c r="BG12" i="64"/>
  <c r="BG9"/>
  <c r="BG11" s="1"/>
  <c r="AD7" i="28"/>
  <c r="AC7" i="67"/>
  <c r="AC6" s="1"/>
  <c r="AC5" s="1"/>
  <c r="AJ38" i="28"/>
  <c r="AJ39" s="1"/>
  <c r="AC39" i="67"/>
  <c r="AC30"/>
  <c r="AC37" s="1"/>
  <c r="AC24"/>
  <c r="AC16" s="1"/>
  <c r="BF11" i="64"/>
  <c r="AJ41" i="28" l="1"/>
  <c r="AJ45"/>
  <c r="AD12"/>
  <c r="BH12" i="64"/>
  <c r="BH9"/>
  <c r="AD18" i="8"/>
  <c r="AD26" i="67" s="1"/>
  <c r="AC40"/>
  <c r="AC28"/>
  <c r="AE16" i="8" l="1"/>
  <c r="BH11" i="64"/>
  <c r="AJ42" i="28"/>
  <c r="AJ44" s="1"/>
  <c r="AJ49"/>
  <c r="AH49"/>
  <c r="AJ43"/>
  <c r="BI9" i="64"/>
  <c r="BI11" s="1"/>
  <c r="BI12"/>
  <c r="AD19" i="28"/>
  <c r="AJ47"/>
  <c r="AJ48"/>
  <c r="AD35" l="1"/>
  <c r="AD36"/>
  <c r="AE17"/>
  <c r="AE17" i="8"/>
  <c r="AD30" i="67"/>
  <c r="AD37" s="1"/>
  <c r="AD24"/>
  <c r="AD16" s="1"/>
  <c r="BJ12" i="64"/>
  <c r="BJ9"/>
  <c r="BJ11" s="1"/>
  <c r="AE12" i="28" l="1"/>
  <c r="AK38"/>
  <c r="AK39" s="1"/>
  <c r="AD39" i="67"/>
  <c r="AD40" s="1"/>
  <c r="AD37" i="28"/>
  <c r="BK9" i="64"/>
  <c r="BK11" s="1"/>
  <c r="BK12"/>
  <c r="AE18" i="8"/>
  <c r="AE26" i="67" s="1"/>
  <c r="AE7" i="28"/>
  <c r="AD7" i="67"/>
  <c r="AD6" s="1"/>
  <c r="AD5" s="1"/>
  <c r="AD28" s="1"/>
  <c r="BL12" i="64" l="1"/>
  <c r="BL9"/>
  <c r="BL11" s="1"/>
  <c r="AK41" i="28"/>
  <c r="AK45"/>
  <c r="AE19"/>
  <c r="AE35" l="1"/>
  <c r="AE36"/>
  <c r="AK42"/>
  <c r="AK44" s="1"/>
  <c r="AK49"/>
  <c r="AK43"/>
  <c r="BM12" i="64"/>
  <c r="BM9"/>
  <c r="BM11" s="1"/>
  <c r="AE30" i="67"/>
  <c r="AE37" s="1"/>
  <c r="AE24"/>
  <c r="AE16" s="1"/>
  <c r="AK47" i="28"/>
  <c r="AK48"/>
  <c r="AL38" l="1"/>
  <c r="AL39" s="1"/>
  <c r="AE39" i="67"/>
  <c r="AE40" s="1"/>
  <c r="AE37" i="28"/>
  <c r="BN12" i="64"/>
  <c r="BO12" s="1"/>
  <c r="BN9"/>
  <c r="AF7" i="28"/>
  <c r="AE7" i="67"/>
  <c r="AE6" s="1"/>
  <c r="AE5" s="1"/>
  <c r="AE28" s="1"/>
  <c r="AF22" l="1"/>
  <c r="AF21" s="1"/>
  <c r="BP9" i="64"/>
  <c r="BP12"/>
  <c r="CP12"/>
  <c r="AL41" i="28"/>
  <c r="AL45"/>
  <c r="BN11" i="64"/>
  <c r="BO11" s="1"/>
  <c r="BO9"/>
  <c r="AF16" i="28" l="1"/>
  <c r="AL48"/>
  <c r="AL47"/>
  <c r="AL42"/>
  <c r="AL44" s="1"/>
  <c r="AL49"/>
  <c r="AL43"/>
  <c r="BQ12" i="64"/>
  <c r="BQ9"/>
  <c r="BQ11" s="1"/>
  <c r="AF14" i="8"/>
  <c r="BP11" i="64"/>
  <c r="F7" i="61" l="1"/>
  <c r="AF15" i="8"/>
  <c r="AF19" i="67"/>
  <c r="BR12" i="64"/>
  <c r="BR9"/>
  <c r="BR11" s="1"/>
  <c r="BS9" l="1"/>
  <c r="BS12"/>
  <c r="F6" i="61"/>
  <c r="F5" s="1"/>
  <c r="F11"/>
  <c r="F12" s="1"/>
  <c r="F13" s="1"/>
  <c r="AF17" i="67"/>
  <c r="AF33" s="1"/>
  <c r="AF34" s="1"/>
  <c r="AF16" i="8"/>
  <c r="AF17" s="1"/>
  <c r="AF18" l="1"/>
  <c r="AF26" i="67" s="1"/>
  <c r="BS11" i="64"/>
  <c r="AF17" i="28"/>
  <c r="BT9" i="64"/>
  <c r="BT11" s="1"/>
  <c r="BT12"/>
  <c r="AF12" i="28" l="1"/>
  <c r="BU9" i="64"/>
  <c r="BU11" s="1"/>
  <c r="BU12"/>
  <c r="AF30" i="67" l="1"/>
  <c r="AF37" s="1"/>
  <c r="AF24"/>
  <c r="BV9" i="64"/>
  <c r="BV11" s="1"/>
  <c r="BV12"/>
  <c r="AF19" i="28"/>
  <c r="AF35" l="1"/>
  <c r="AF36"/>
  <c r="BW9" i="64"/>
  <c r="BW11" s="1"/>
  <c r="BW12"/>
  <c r="B24" i="33"/>
  <c r="AF16" i="67"/>
  <c r="AM38" i="28" l="1"/>
  <c r="AM39" s="1"/>
  <c r="AF39" i="67"/>
  <c r="AF40" s="1"/>
  <c r="AF37" i="28"/>
  <c r="BX12" i="64"/>
  <c r="BX9"/>
  <c r="BX11" s="1"/>
  <c r="AG7" i="28"/>
  <c r="AF7" i="67"/>
  <c r="AF6" s="1"/>
  <c r="AF5" s="1"/>
  <c r="AF28" s="1"/>
  <c r="A2" i="28"/>
  <c r="AM41" l="1"/>
  <c r="AM45"/>
  <c r="BY9" i="64"/>
  <c r="BY11" s="1"/>
  <c r="BY12"/>
  <c r="AM42" i="28" l="1"/>
  <c r="AM44" s="1"/>
  <c r="AM49"/>
  <c r="AM43"/>
  <c r="BZ12" i="64"/>
  <c r="BZ9"/>
  <c r="BZ11" s="1"/>
  <c r="AM47" i="28"/>
  <c r="AM48"/>
  <c r="CA12" i="64" l="1"/>
  <c r="CB12" s="1"/>
  <c r="CA9"/>
  <c r="CC12" l="1"/>
  <c r="AG22" i="67"/>
  <c r="AG21" s="1"/>
  <c r="CC9" i="64"/>
  <c r="CA11"/>
  <c r="CB11" s="1"/>
  <c r="CB9"/>
  <c r="AG14" i="8" l="1"/>
  <c r="CC11" i="64"/>
  <c r="CD9"/>
  <c r="CD11" s="1"/>
  <c r="CD12"/>
  <c r="AG16" i="28"/>
  <c r="CE9" i="64" l="1"/>
  <c r="CE12"/>
  <c r="G7" i="61"/>
  <c r="AG15" i="8"/>
  <c r="AG19" i="67"/>
  <c r="G6" i="61" l="1"/>
  <c r="G5" s="1"/>
  <c r="G11"/>
  <c r="G12" s="1"/>
  <c r="G13" s="1"/>
  <c r="CE11" i="64"/>
  <c r="AG17" i="67"/>
  <c r="AG33" s="1"/>
  <c r="AG34" s="1"/>
  <c r="AG16" i="8"/>
  <c r="CF12" i="64"/>
  <c r="CF9"/>
  <c r="CF11" s="1"/>
  <c r="AG17" i="28" l="1"/>
  <c r="CG9" i="64"/>
  <c r="CG11" s="1"/>
  <c r="CG12"/>
  <c r="AG17" i="8"/>
  <c r="CH12" i="64" l="1"/>
  <c r="CH9"/>
  <c r="AG18" i="8"/>
  <c r="AG26" i="67" s="1"/>
  <c r="AG12" i="28"/>
  <c r="AG19" l="1"/>
  <c r="CH11" i="64"/>
  <c r="CI9"/>
  <c r="CI11" s="1"/>
  <c r="CI12"/>
  <c r="CJ9" l="1"/>
  <c r="CJ12"/>
  <c r="AG30" i="67"/>
  <c r="AG37" s="1"/>
  <c r="AG24"/>
  <c r="AG16" s="1"/>
  <c r="AG35" i="28"/>
  <c r="AG36"/>
  <c r="AG7" i="67" l="1"/>
  <c r="AG6" s="1"/>
  <c r="AG5" s="1"/>
  <c r="AG28" s="1"/>
  <c r="AH7" i="28"/>
  <c r="AN38"/>
  <c r="AN39" s="1"/>
  <c r="AG39" i="67"/>
  <c r="AG40" s="1"/>
  <c r="AG37" i="28"/>
  <c r="CJ11" i="64"/>
  <c r="CK9"/>
  <c r="CK11" s="1"/>
  <c r="CK12"/>
  <c r="CL9" l="1"/>
  <c r="CL11" s="1"/>
  <c r="CL12"/>
  <c r="AN41" i="28"/>
  <c r="AN45"/>
  <c r="AN42" l="1"/>
  <c r="AN44" s="1"/>
  <c r="AN49"/>
  <c r="AN43"/>
  <c r="AN47"/>
  <c r="AN48"/>
  <c r="CM9" i="64"/>
  <c r="CM11" s="1"/>
  <c r="CM12"/>
  <c r="CN12" l="1"/>
  <c r="CO12" s="1"/>
  <c r="CN9"/>
  <c r="AH22" i="67" l="1"/>
  <c r="AH21" s="1"/>
  <c r="B12" i="64"/>
  <c r="CN11"/>
  <c r="CO11" s="1"/>
  <c r="CO9"/>
  <c r="AH16" i="28" l="1"/>
  <c r="B11" i="64"/>
  <c r="AH14" i="8"/>
  <c r="B9" i="64"/>
  <c r="A17" l="1"/>
  <c r="H7" i="61"/>
  <c r="AH15" i="8"/>
  <c r="B14"/>
  <c r="AH19" i="67"/>
  <c r="AH17" s="1"/>
  <c r="AH33" s="1"/>
  <c r="AH34" s="1"/>
  <c r="B16" i="28"/>
  <c r="H11" i="61" l="1"/>
  <c r="H12" s="1"/>
  <c r="H13" s="1"/>
  <c r="H6"/>
  <c r="H5" s="1"/>
  <c r="AH16" i="8"/>
  <c r="B15"/>
  <c r="AH17" i="28" l="1"/>
  <c r="B16" i="8"/>
  <c r="AH17"/>
  <c r="B20" i="33" l="1"/>
  <c r="B17" i="8"/>
  <c r="AH18"/>
  <c r="AH26" i="67" s="1"/>
  <c r="B17" i="28"/>
  <c r="B55" i="33" s="1"/>
  <c r="B58" s="1"/>
  <c r="AH12" i="28"/>
  <c r="AH19" l="1"/>
  <c r="B12"/>
  <c r="B19" s="1"/>
  <c r="B18" i="8"/>
  <c r="AH35" i="28" l="1"/>
  <c r="AH36"/>
  <c r="AH30" i="67"/>
  <c r="AH37" s="1"/>
  <c r="AH24"/>
  <c r="AH16" s="1"/>
  <c r="B21" i="33" s="1"/>
  <c r="B35" i="28"/>
  <c r="B36"/>
  <c r="G2" i="53" l="1"/>
  <c r="M3" i="63"/>
  <c r="AH39" i="67"/>
  <c r="AH40" s="1"/>
  <c r="AO38" i="28"/>
  <c r="AH37"/>
  <c r="B37"/>
  <c r="B38" s="1"/>
  <c r="AH7" i="67"/>
  <c r="AH6" s="1"/>
  <c r="B2" i="28"/>
  <c r="O3" i="69" l="1"/>
  <c r="H2" i="53"/>
  <c r="M4" i="65"/>
  <c r="N3" i="63"/>
  <c r="AP38" i="28"/>
  <c r="AO39"/>
  <c r="B23" i="33"/>
  <c r="AH5" i="67"/>
  <c r="AH28" s="1"/>
  <c r="AQ38" i="28" l="1"/>
  <c r="AP39"/>
  <c r="AO41"/>
  <c r="B50" s="1"/>
  <c r="AO45"/>
  <c r="AO48" l="1"/>
  <c r="AO47"/>
  <c r="AO42"/>
  <c r="AO44" s="1"/>
  <c r="AO49"/>
  <c r="AO43"/>
  <c r="AR38"/>
  <c r="AQ39"/>
  <c r="AP41"/>
  <c r="AP45"/>
  <c r="B28" i="33" l="1"/>
  <c r="AP42" i="28"/>
  <c r="AP44" s="1"/>
  <c r="AP49"/>
  <c r="AR39"/>
  <c r="AS38"/>
  <c r="AS39" s="1"/>
  <c r="AP48"/>
  <c r="AP47"/>
  <c r="AQ41"/>
  <c r="AQ45"/>
  <c r="AP43"/>
  <c r="AQ43" l="1"/>
  <c r="AQ42"/>
  <c r="AQ44" s="1"/>
  <c r="AQ49"/>
  <c r="AR41"/>
  <c r="AR45"/>
  <c r="AQ48"/>
  <c r="AQ47"/>
  <c r="AS41"/>
  <c r="AS45"/>
  <c r="AR43" l="1"/>
  <c r="AS43" s="1"/>
  <c r="AS47"/>
  <c r="B27" i="33" s="1"/>
  <c r="AS48" i="28"/>
  <c r="AR48"/>
  <c r="AR47"/>
  <c r="AS42"/>
  <c r="AS49"/>
  <c r="B26" i="33" s="1"/>
  <c r="AR42" i="28"/>
  <c r="B51" s="1"/>
  <c r="AR49"/>
  <c r="AR44"/>
  <c r="AS44" l="1"/>
  <c r="B29" i="33"/>
</calcChain>
</file>

<file path=xl/sharedStrings.xml><?xml version="1.0" encoding="utf-8"?>
<sst xmlns="http://schemas.openxmlformats.org/spreadsheetml/2006/main" count="541" uniqueCount="385">
  <si>
    <t>Итого</t>
  </si>
  <si>
    <t>ВСЕГО</t>
  </si>
  <si>
    <t>Налог на имущество</t>
  </si>
  <si>
    <t xml:space="preserve">Наименование          </t>
  </si>
  <si>
    <t>Чистый доход</t>
  </si>
  <si>
    <t>Остаток денежных средств на начало отчетного периода</t>
  </si>
  <si>
    <t>Выбытие</t>
  </si>
  <si>
    <t xml:space="preserve">Поступление </t>
  </si>
  <si>
    <t xml:space="preserve">Выбытие </t>
  </si>
  <si>
    <t>Значение</t>
  </si>
  <si>
    <t>Период</t>
  </si>
  <si>
    <t>Операционная деятельность</t>
  </si>
  <si>
    <t>Вознаграждение</t>
  </si>
  <si>
    <t>итого</t>
  </si>
  <si>
    <t>начисление %</t>
  </si>
  <si>
    <t>Погашено ОД</t>
  </si>
  <si>
    <t>Погашено %</t>
  </si>
  <si>
    <t>Остаток ОД</t>
  </si>
  <si>
    <t>Валовая прибыль</t>
  </si>
  <si>
    <t xml:space="preserve">    Поступление</t>
  </si>
  <si>
    <t xml:space="preserve">Подоходный налог </t>
  </si>
  <si>
    <t>Результат операционной деятельности</t>
  </si>
  <si>
    <t>Инвестиционная деятельность</t>
  </si>
  <si>
    <t xml:space="preserve">Приобретение ОС и НА </t>
  </si>
  <si>
    <t>Результат инвестиционной деятельности</t>
  </si>
  <si>
    <t>недостача избыток ден средств</t>
  </si>
  <si>
    <t>Финансовая деятельность</t>
  </si>
  <si>
    <t>Результат финансовой деятельности</t>
  </si>
  <si>
    <t>Чистые потоки денежных средств</t>
  </si>
  <si>
    <t>Расходы по процентам за кредиты</t>
  </si>
  <si>
    <t>Корпоративный подоходный налог</t>
  </si>
  <si>
    <t>Показатель</t>
  </si>
  <si>
    <t>Период окупаемости (дисконтированный)</t>
  </si>
  <si>
    <t>Сальдо по НДС</t>
  </si>
  <si>
    <t>Капитализ-я %</t>
  </si>
  <si>
    <t>Кумулятивный чистый доход</t>
  </si>
  <si>
    <t>Выплаты по дивидендам учредителям</t>
  </si>
  <si>
    <t>Доход облагаемый КПН</t>
  </si>
  <si>
    <t>Выплата НДС</t>
  </si>
  <si>
    <t xml:space="preserve">Период окупаемости   </t>
  </si>
  <si>
    <t>№</t>
  </si>
  <si>
    <t>Должность</t>
  </si>
  <si>
    <t>Количество</t>
  </si>
  <si>
    <t>Исходные данные по проекту</t>
  </si>
  <si>
    <t>Ед. изм.</t>
  </si>
  <si>
    <t>НДС</t>
  </si>
  <si>
    <t>%</t>
  </si>
  <si>
    <t>без НДС</t>
  </si>
  <si>
    <t>Затраты</t>
  </si>
  <si>
    <t>ФОТ</t>
  </si>
  <si>
    <t>Канцтовары</t>
  </si>
  <si>
    <t>Прочие непредвиденные расходы</t>
  </si>
  <si>
    <t>Пенсионные отчисления</t>
  </si>
  <si>
    <t>Подоходный налог</t>
  </si>
  <si>
    <t>Социальные отчисления</t>
  </si>
  <si>
    <t>Социальный налог</t>
  </si>
  <si>
    <t>К выдаче</t>
  </si>
  <si>
    <t>Соц.отчисления</t>
  </si>
  <si>
    <t>Расчет НДС</t>
  </si>
  <si>
    <t>Проценты за кредит</t>
  </si>
  <si>
    <t>Остаток на конец отчетного периода</t>
  </si>
  <si>
    <t xml:space="preserve">Поступления по вкладам учредителей </t>
  </si>
  <si>
    <t>Ставка по кредиту</t>
  </si>
  <si>
    <t>max</t>
  </si>
  <si>
    <t>Ставка КПН</t>
  </si>
  <si>
    <t>тыс.тг.</t>
  </si>
  <si>
    <t>Первоначальные инвестиции с НДС, тыс.тг.</t>
  </si>
  <si>
    <t>Коэффициент НДС</t>
  </si>
  <si>
    <t>Net CF (all)</t>
  </si>
  <si>
    <t>CF before int. and loans</t>
  </si>
  <si>
    <t>CF inv</t>
  </si>
  <si>
    <t>NCF (Чистые денежные потоки)</t>
  </si>
  <si>
    <t>d NCF</t>
  </si>
  <si>
    <t>CCF</t>
  </si>
  <si>
    <t>dCCF</t>
  </si>
  <si>
    <t>PV (CCF)</t>
  </si>
  <si>
    <t>PV (CCF inv)</t>
  </si>
  <si>
    <t>NPV</t>
  </si>
  <si>
    <t>PI</t>
  </si>
  <si>
    <t>IRR</t>
  </si>
  <si>
    <t>Ставка дисконтирования</t>
  </si>
  <si>
    <t>Анализ безубыточности проекта</t>
  </si>
  <si>
    <t>Доля предельного дохода в выручке</t>
  </si>
  <si>
    <t>Запас финансовой устойчивости предприятия (%)</t>
  </si>
  <si>
    <t>Амортизация</t>
  </si>
  <si>
    <t>Кол-во периодов</t>
  </si>
  <si>
    <t>Расходы на рекламу</t>
  </si>
  <si>
    <t>Страхование</t>
  </si>
  <si>
    <t>Стр-е гражданско-правовой ответ-ти работодателя</t>
  </si>
  <si>
    <t>Налоги (кроме налогов на ФЗП)</t>
  </si>
  <si>
    <t>Расчет амортизационных отчислений</t>
  </si>
  <si>
    <t>Норма амортизации</t>
  </si>
  <si>
    <t>Основные средства на начало</t>
  </si>
  <si>
    <t>Приход ОС</t>
  </si>
  <si>
    <t>Амортизационные отчисления, год</t>
  </si>
  <si>
    <t>Остаточная стоимость ОС</t>
  </si>
  <si>
    <t>Всего</t>
  </si>
  <si>
    <t>Балансовая прибыль</t>
  </si>
  <si>
    <t>Постоянные издержки</t>
  </si>
  <si>
    <t>Переменные издержки</t>
  </si>
  <si>
    <t>Сумма предельного дохода</t>
  </si>
  <si>
    <t>Предел безубыточности</t>
  </si>
  <si>
    <t>Адм.-управленческий персонал</t>
  </si>
  <si>
    <t>оклад</t>
  </si>
  <si>
    <t>Итого ЗП к начислению</t>
  </si>
  <si>
    <t>Статья доходов</t>
  </si>
  <si>
    <t>$ тыс.</t>
  </si>
  <si>
    <t>Доход от реализации продукции, услуг</t>
  </si>
  <si>
    <t>Себестоимость реализ. товаров, услуг</t>
  </si>
  <si>
    <t>Освоение и погашение кредитных ресурсов, тыс.тг.</t>
  </si>
  <si>
    <t>Производственный персонал</t>
  </si>
  <si>
    <t>Обслуживающий персонал</t>
  </si>
  <si>
    <t>Обслуживание и ремонт ОС</t>
  </si>
  <si>
    <t>Услуги банка</t>
  </si>
  <si>
    <t>Налог на транспорт</t>
  </si>
  <si>
    <t>Курс доллар/тенге</t>
  </si>
  <si>
    <t>Безубыточность</t>
  </si>
  <si>
    <t>Заемные средства</t>
  </si>
  <si>
    <t>Оборудование</t>
  </si>
  <si>
    <t>Освоение</t>
  </si>
  <si>
    <t>значение</t>
  </si>
  <si>
    <t>Вспомогательный персонал</t>
  </si>
  <si>
    <t>Всего по персоналу</t>
  </si>
  <si>
    <t>Услуги связи</t>
  </si>
  <si>
    <t>Здание</t>
  </si>
  <si>
    <t>Отчет о доходах и расходах</t>
  </si>
  <si>
    <t>год</t>
  </si>
  <si>
    <t>Доход от реализации услуг</t>
  </si>
  <si>
    <t>МЗП</t>
  </si>
  <si>
    <t>Директор</t>
  </si>
  <si>
    <t>Охранник</t>
  </si>
  <si>
    <t>Завхоз</t>
  </si>
  <si>
    <t>Интернет</t>
  </si>
  <si>
    <t>Полная себестоимость услуг</t>
  </si>
  <si>
    <t>Баланс</t>
  </si>
  <si>
    <t>Активы</t>
  </si>
  <si>
    <t>Текущие активы</t>
  </si>
  <si>
    <t>Денежные средства</t>
  </si>
  <si>
    <t>Дебиторская задолженность</t>
  </si>
  <si>
    <t>Запасы</t>
  </si>
  <si>
    <t>Прочие краткосрочные активы</t>
  </si>
  <si>
    <t>Долгосрочные активы</t>
  </si>
  <si>
    <t>Основные средства</t>
  </si>
  <si>
    <t>Долгосрочная дебиторская задолженность</t>
  </si>
  <si>
    <t>Прочие долгосрочные активы</t>
  </si>
  <si>
    <t>Пассивы</t>
  </si>
  <si>
    <t>Краткосрочные обязательства</t>
  </si>
  <si>
    <t>Обязательства по налогам</t>
  </si>
  <si>
    <t>Краткосрочная кредиторская задолженность</t>
  </si>
  <si>
    <t>Обязательства по кредитам</t>
  </si>
  <si>
    <t>Прочие краткосрочные обязательства</t>
  </si>
  <si>
    <t>Долгосрочные обязательства</t>
  </si>
  <si>
    <t>Прочие долгосрочные обязательства</t>
  </si>
  <si>
    <t>Капитал</t>
  </si>
  <si>
    <t>Уставный капитал</t>
  </si>
  <si>
    <t>Прибыль</t>
  </si>
  <si>
    <t>проверочная строка</t>
  </si>
  <si>
    <t>Изменение ДТ</t>
  </si>
  <si>
    <t>Изменение запасов</t>
  </si>
  <si>
    <t>Изменение КТ</t>
  </si>
  <si>
    <t>Итого изменение оборотного капитала</t>
  </si>
  <si>
    <t>Кап.затраты</t>
  </si>
  <si>
    <t>Чистый денежный поток</t>
  </si>
  <si>
    <t>Единица расчетов</t>
  </si>
  <si>
    <t>Налоговые ставки</t>
  </si>
  <si>
    <t>Расчет заработной платы</t>
  </si>
  <si>
    <t>Расходы периода</t>
  </si>
  <si>
    <t>Административные расходы</t>
  </si>
  <si>
    <t>ЧДП по Ф3</t>
  </si>
  <si>
    <t>Постоянные расходы в месяц</t>
  </si>
  <si>
    <t>Доходы-расходы</t>
  </si>
  <si>
    <t>Общие</t>
  </si>
  <si>
    <t>Параметры кредита</t>
  </si>
  <si>
    <t>Срок кредита</t>
  </si>
  <si>
    <t>лет</t>
  </si>
  <si>
    <t>Льготный период по выплате ОД</t>
  </si>
  <si>
    <t>Льготный период по выплате %</t>
  </si>
  <si>
    <t>мес</t>
  </si>
  <si>
    <t>Сумма</t>
  </si>
  <si>
    <t>Кол-во</t>
  </si>
  <si>
    <t>Цена</t>
  </si>
  <si>
    <t>Курс рос.рубль/тенге</t>
  </si>
  <si>
    <t>метод WACC</t>
  </si>
  <si>
    <t>Выплаты по кредитам</t>
  </si>
  <si>
    <t>Поступления по кредитам</t>
  </si>
  <si>
    <t>Прогноз движения денежных средств (Cash Flow)</t>
  </si>
  <si>
    <t>НДС к начислению</t>
  </si>
  <si>
    <t>НДС к зачету</t>
  </si>
  <si>
    <t>НДС к зачету по инвестициям</t>
  </si>
  <si>
    <t>Сальдо нарастающим итогом</t>
  </si>
  <si>
    <t>НДС к выплате</t>
  </si>
  <si>
    <t>Оборотный капитал</t>
  </si>
  <si>
    <t>Инвестиции в основной капитал</t>
  </si>
  <si>
    <t>Собственные средств</t>
  </si>
  <si>
    <t>Доля</t>
  </si>
  <si>
    <t>Валюта кредита</t>
  </si>
  <si>
    <t>тенге</t>
  </si>
  <si>
    <t>Процентная ставка, годовых</t>
  </si>
  <si>
    <t>Выплата процентов и основного долга</t>
  </si>
  <si>
    <t>ежемесячно</t>
  </si>
  <si>
    <t>равными долями</t>
  </si>
  <si>
    <t>Льготный период погашения процентов, мес.</t>
  </si>
  <si>
    <t>Льготный период погашения основного долга, мес.</t>
  </si>
  <si>
    <t>период</t>
  </si>
  <si>
    <t>Рентабельность активов</t>
  </si>
  <si>
    <t>Внутренняя норма доходности (IRR)</t>
  </si>
  <si>
    <t>Чистая текущая стоимость (NPV), тыс.тг.</t>
  </si>
  <si>
    <t>Окупаемость проекта (простая), лет</t>
  </si>
  <si>
    <t>Окупаемость проекта (дисконтированная), лет</t>
  </si>
  <si>
    <t>Календарный план реализации проекта</t>
  </si>
  <si>
    <t>Мероприятия\Месяц</t>
  </si>
  <si>
    <t>Проведение маркетингового исследования и разработка ТЭО</t>
  </si>
  <si>
    <t>Решение вопроса финансирования</t>
  </si>
  <si>
    <t>Получение кредита</t>
  </si>
  <si>
    <t>Здания и сооружения</t>
  </si>
  <si>
    <t>Коэффициент покрытия обязательств собственным капиталом</t>
  </si>
  <si>
    <t>Наименование</t>
  </si>
  <si>
    <t>Мегалайн</t>
  </si>
  <si>
    <t>Текущая ликвидность</t>
  </si>
  <si>
    <t>Величина налоговых поступлений за 7 лет, тыс.тг.</t>
  </si>
  <si>
    <t>Налог на прибыль</t>
  </si>
  <si>
    <t>Налоги и обязательные платежи от ФОТ</t>
  </si>
  <si>
    <t>Вид налога</t>
  </si>
  <si>
    <t>Сумма, тыс.тг.</t>
  </si>
  <si>
    <t>Водитель</t>
  </si>
  <si>
    <t>Техника</t>
  </si>
  <si>
    <t>ед.изм.</t>
  </si>
  <si>
    <t>ГСМ</t>
  </si>
  <si>
    <t>из расчета 20 л.на 1 машину в день</t>
  </si>
  <si>
    <t>НК РК (10 584 тг/1 машина)</t>
  </si>
  <si>
    <t>Срок погашения, лет</t>
  </si>
  <si>
    <t>Планируемая программа производства по годам проекта</t>
  </si>
  <si>
    <t>Поставка оборудования, монтаж</t>
  </si>
  <si>
    <t>Поиск персонала</t>
  </si>
  <si>
    <t>Размещение рекламы</t>
  </si>
  <si>
    <t>Цены на продукцию</t>
  </si>
  <si>
    <t>Глав.бухгалтер</t>
  </si>
  <si>
    <t>Инженер</t>
  </si>
  <si>
    <t>Уборщик помещений</t>
  </si>
  <si>
    <t>Разнорабочий</t>
  </si>
  <si>
    <t>Слесарь</t>
  </si>
  <si>
    <t>Электрик</t>
  </si>
  <si>
    <t>Ед.изм.</t>
  </si>
  <si>
    <t>2 машины</t>
  </si>
  <si>
    <t>Годовая прибыль (7 год), тыс.тг.</t>
  </si>
  <si>
    <t>на 7 год проекта</t>
  </si>
  <si>
    <t>на 5 год проекта, т.к. к 7 году происходит полное погашение обязательств</t>
  </si>
  <si>
    <t>на 11 год реализации проекта</t>
  </si>
  <si>
    <t>Налог на имущество и транспорт</t>
  </si>
  <si>
    <t>Примечание</t>
  </si>
  <si>
    <t>Земельный участок берется в безвозмездную аренду у государства согласно Закона об инвестициях</t>
  </si>
  <si>
    <t>КРС</t>
  </si>
  <si>
    <t>коэф-т</t>
  </si>
  <si>
    <t>Приобретено коров</t>
  </si>
  <si>
    <t>Выбраковка по болезни и забой по старости (начиная с 3-го года)</t>
  </si>
  <si>
    <t>Дополнительный забой</t>
  </si>
  <si>
    <t>Поголовье коров</t>
  </si>
  <si>
    <t>Кол-во полученного приплода</t>
  </si>
  <si>
    <t>в т.ч. поголовье бычков</t>
  </si>
  <si>
    <t>поголовье телок</t>
  </si>
  <si>
    <t>1 отел</t>
  </si>
  <si>
    <t>Выбраковка</t>
  </si>
  <si>
    <t>2 отел</t>
  </si>
  <si>
    <t>3 отел</t>
  </si>
  <si>
    <t>4 отел</t>
  </si>
  <si>
    <t>5 отел</t>
  </si>
  <si>
    <t>6 отел</t>
  </si>
  <si>
    <t>Поголовье быков</t>
  </si>
  <si>
    <t>Забой быков</t>
  </si>
  <si>
    <t>Забой коров (выбраковка)</t>
  </si>
  <si>
    <t>Забой коров (дополнительно)</t>
  </si>
  <si>
    <t>вес туши</t>
  </si>
  <si>
    <t>уб.вес</t>
  </si>
  <si>
    <t>вместительность холодильника</t>
  </si>
  <si>
    <t>Мясо от быков</t>
  </si>
  <si>
    <t>кг.</t>
  </si>
  <si>
    <t xml:space="preserve"> 2 тонны</t>
  </si>
  <si>
    <t>м3</t>
  </si>
  <si>
    <t>Мясо от коров</t>
  </si>
  <si>
    <t>1 м3 холодильной камеры - 0,3-0,45 тн.</t>
  </si>
  <si>
    <t>Производственные расходы</t>
  </si>
  <si>
    <t>Сено</t>
  </si>
  <si>
    <t>нормы расхода - Справочник фермера, Агротехнический университет</t>
  </si>
  <si>
    <t>Солома</t>
  </si>
  <si>
    <t>Зерновые</t>
  </si>
  <si>
    <t>Расчет площади коровника</t>
  </si>
  <si>
    <t>max поголовье, гол.</t>
  </si>
  <si>
    <t>Масса 1 головы</t>
  </si>
  <si>
    <t>кг</t>
  </si>
  <si>
    <t>Соотношение живой/убойный вес</t>
  </si>
  <si>
    <t>Кол-во бычков от общего приплода</t>
  </si>
  <si>
    <t>Кол-во телок от общего приплода</t>
  </si>
  <si>
    <t>Средний удой на 1 корову</t>
  </si>
  <si>
    <t>л/год</t>
  </si>
  <si>
    <t>Кол-во первоначально приобретаемых коров</t>
  </si>
  <si>
    <t>гол.</t>
  </si>
  <si>
    <t>Кол-во первоначально приобретаемых быков</t>
  </si>
  <si>
    <t>Максимальное поголовье коров</t>
  </si>
  <si>
    <t>Получаемый приплод</t>
  </si>
  <si>
    <t>Поголовье телок</t>
  </si>
  <si>
    <t>Поголовье бычков</t>
  </si>
  <si>
    <t>забиваются на следующий год</t>
  </si>
  <si>
    <t>Перевод телок во взрослое стадо</t>
  </si>
  <si>
    <t>переводятся по происшествии 2-х лет</t>
  </si>
  <si>
    <t>Среднее поголовье взрослое стадо</t>
  </si>
  <si>
    <t>Среднее поголовье молодняк</t>
  </si>
  <si>
    <t>Эксплуатационные расходы</t>
  </si>
  <si>
    <t>Мясо</t>
  </si>
  <si>
    <t>Молоко</t>
  </si>
  <si>
    <t>Удой</t>
  </si>
  <si>
    <t>литр</t>
  </si>
  <si>
    <t>удой</t>
  </si>
  <si>
    <t>% отелов</t>
  </si>
  <si>
    <t>Необходимая площадь коровника, м2</t>
  </si>
  <si>
    <t>Взрослое стадо</t>
  </si>
  <si>
    <t>Молодняк</t>
  </si>
  <si>
    <t>Мясо говядина</t>
  </si>
  <si>
    <t>тг./литр без НДС</t>
  </si>
  <si>
    <t>тг./кг. без НДС</t>
  </si>
  <si>
    <t>Реализация молока</t>
  </si>
  <si>
    <t>Реализация мяса</t>
  </si>
  <si>
    <t>Заведующий</t>
  </si>
  <si>
    <t>Зоотехник</t>
  </si>
  <si>
    <t>Скотник</t>
  </si>
  <si>
    <t>Доярка</t>
  </si>
  <si>
    <t>Ветврач</t>
  </si>
  <si>
    <t>Мясник</t>
  </si>
  <si>
    <t>Вет.препараты</t>
  </si>
  <si>
    <t>Холодильная установка на базе компрессоров Copeland</t>
  </si>
  <si>
    <t>МТЗ</t>
  </si>
  <si>
    <t>Животные</t>
  </si>
  <si>
    <t>КРС - коровы</t>
  </si>
  <si>
    <t>КРС - быки</t>
  </si>
  <si>
    <t>Корма</t>
  </si>
  <si>
    <t>с 04.12</t>
  </si>
  <si>
    <t>с 01.13</t>
  </si>
  <si>
    <t>Дата начала реализации</t>
  </si>
  <si>
    <t>Доля собственного участия</t>
  </si>
  <si>
    <t>с НДС</t>
  </si>
  <si>
    <t>сдельно</t>
  </si>
  <si>
    <t>Средний удой на 1 корову, л/год</t>
  </si>
  <si>
    <t>Удой молока, л.</t>
  </si>
  <si>
    <t>Поголовье коров, гол.</t>
  </si>
  <si>
    <t>Производство мяса, тн.</t>
  </si>
  <si>
    <t>Показатель (годовой)</t>
  </si>
  <si>
    <t>Сдельная заработная плата</t>
  </si>
  <si>
    <t>ФОТ на 1 голову</t>
  </si>
  <si>
    <t>Поголовье общее</t>
  </si>
  <si>
    <t>ФОТ первоначальный (в месяц)</t>
  </si>
  <si>
    <t>Кол-во голов (первоначальное, взрослое стадо)</t>
  </si>
  <si>
    <t>Кол-во голов (первоначальное, молодняк)</t>
  </si>
  <si>
    <t>Среднее кол-во голов</t>
  </si>
  <si>
    <t>Установка ангара</t>
  </si>
  <si>
    <t>Выплата аванса за оборудование</t>
  </si>
  <si>
    <t>Закуп КРС</t>
  </si>
  <si>
    <t>Доходы в год, тыс.тг.</t>
  </si>
  <si>
    <t>исходя из качеств черно-пестрой породы</t>
  </si>
  <si>
    <t>исходя из рыночных цен (сайт АО "Казагромаркетинг")</t>
  </si>
  <si>
    <t>исходя из закупочных цен (рыночная цена упакованного молока - 125 тг./литр)</t>
  </si>
  <si>
    <t>Минеральные добавки</t>
  </si>
  <si>
    <t>Цена, тыс.тг.</t>
  </si>
  <si>
    <t>Норма          (тн. в год)</t>
  </si>
  <si>
    <t>Корнеплоды</t>
  </si>
  <si>
    <t>Витаминно-минеральные добавки</t>
  </si>
  <si>
    <t>Сайт tehnika.apkonline.ru</t>
  </si>
  <si>
    <t>в т.ч. взрослое поголовье</t>
  </si>
  <si>
    <t xml:space="preserve">        молодняк</t>
  </si>
  <si>
    <t>норма площади на 1 голову (взр), м2</t>
  </si>
  <si>
    <t>норма площади на 1 голову (мол), м3</t>
  </si>
  <si>
    <t>Помещение для доильного станка, м2</t>
  </si>
  <si>
    <t>Помещение для хранения молока, м2</t>
  </si>
  <si>
    <t>Помещение для кормов, м2</t>
  </si>
  <si>
    <t>Утепленное здание системы “СПАЙДЕР-В”  (коровник)</t>
  </si>
  <si>
    <t>компания Ruukki Construction</t>
  </si>
  <si>
    <t>www.holodim.ru</t>
  </si>
  <si>
    <t>Объем мяса</t>
  </si>
  <si>
    <t>Прайс ОАО "Гомельагрокомплект" (Беларусь)</t>
  </si>
  <si>
    <t>Коммуникации</t>
  </si>
  <si>
    <t>Аппарат доильный попарного доения</t>
  </si>
  <si>
    <t>Движение поголовья, гол.</t>
  </si>
  <si>
    <t>01-06.2012</t>
  </si>
  <si>
    <t>Расходы, тыс.тг.</t>
  </si>
  <si>
    <t>Источник финансирования, тыс.тг.</t>
  </si>
  <si>
    <t>Тип погашения основного долга</t>
  </si>
  <si>
    <t>уменьшен на 70% согласно НК РК</t>
  </si>
</sst>
</file>

<file path=xl/styles.xml><?xml version="1.0" encoding="utf-8"?>
<styleSheet xmlns="http://schemas.openxmlformats.org/spreadsheetml/2006/main">
  <numFmts count="18">
    <numFmt numFmtId="41" formatCode="_-* #,##0_р_._-;\-* #,##0_р_._-;_-* &quot;-&quot;_р_._-;_-@_-"/>
    <numFmt numFmtId="43" formatCode="_-* #,##0.00_р_._-;\-* #,##0.00_р_._-;_-* &quot;-&quot;??_р_._-;_-@_-"/>
    <numFmt numFmtId="164" formatCode="#,##0_ ;[Red]\-#,##0\ "/>
    <numFmt numFmtId="165" formatCode="0.0%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0.0"/>
    <numFmt numFmtId="169" formatCode="#,##0.0"/>
    <numFmt numFmtId="170" formatCode="&quot;\&quot;#,##0;[Red]&quot;\&quot;\-#,##0"/>
    <numFmt numFmtId="171" formatCode="&quot;\&quot;#,##0.00;[Red]&quot;\&quot;\-#,##0.00"/>
    <numFmt numFmtId="172" formatCode="&quot;See Note &quot;\ #"/>
    <numFmt numFmtId="173" formatCode="\$\ #,##0"/>
    <numFmt numFmtId="174" formatCode="_-* #,##0.00[$€]_-;\-* #,##0.00[$€]_-;_-* &quot;-&quot;??[$€]_-;_-@_-"/>
    <numFmt numFmtId="175" formatCode="#,##0.000"/>
    <numFmt numFmtId="176" formatCode="0.000"/>
    <numFmt numFmtId="177" formatCode="_-* #,##0_р_._-;\-* #,##0_р_._-;_-* &quot;-&quot;??_р_._-;_-@_-"/>
    <numFmt numFmtId="178" formatCode="#,##0_ ;\-#,##0\ "/>
    <numFmt numFmtId="179" formatCode="#,##0.0_ ;\-#,##0.0\ "/>
  </numFmts>
  <fonts count="3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</font>
    <font>
      <sz val="10"/>
      <name val="Helv"/>
      <family val="2"/>
    </font>
    <font>
      <b/>
      <sz val="8"/>
      <name val="Times New Roman"/>
      <family val="1"/>
    </font>
    <font>
      <sz val="10"/>
      <name val="ЏрЯмой Џроп"/>
    </font>
    <font>
      <sz val="8"/>
      <name val="Helv"/>
      <family val="2"/>
    </font>
    <font>
      <sz val="8"/>
      <name val="Times New Roman"/>
      <family val="1"/>
    </font>
    <font>
      <sz val="10"/>
      <name val="Arial"/>
      <family val="2"/>
      <charset val="204"/>
    </font>
    <font>
      <sz val="12"/>
      <name val="Times New Roman Cyr"/>
      <charset val="204"/>
    </font>
    <font>
      <sz val="10"/>
      <name val="Geneva"/>
      <charset val="204"/>
    </font>
    <font>
      <sz val="11"/>
      <name val="lr oSVbN"/>
      <family val="3"/>
    </font>
    <font>
      <sz val="8"/>
      <name val="Arial"/>
      <family val="2"/>
      <charset val="204"/>
    </font>
    <font>
      <sz val="10"/>
      <name val="Arial Cyr"/>
      <charset val="204"/>
    </font>
    <font>
      <sz val="9"/>
      <color indexed="8"/>
      <name val="Futuris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9"/>
      <name val="Arial"/>
      <family val="2"/>
      <charset val="204"/>
    </font>
    <font>
      <i/>
      <sz val="10"/>
      <color theme="3" tint="0.39997558519241921"/>
      <name val="Arial"/>
      <family val="2"/>
      <charset val="204"/>
    </font>
    <font>
      <i/>
      <sz val="10"/>
      <color theme="0" tint="-0.499984740745262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i/>
      <sz val="8"/>
      <color theme="0" tint="-0.499984740745262"/>
      <name val="Arial"/>
      <family val="2"/>
      <charset val="204"/>
    </font>
    <font>
      <u/>
      <sz val="10"/>
      <color theme="10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1">
    <xf numFmtId="0" fontId="0" fillId="0" borderId="0"/>
    <xf numFmtId="0" fontId="16" fillId="0" borderId="0">
      <alignment vertical="top" wrapText="1"/>
    </xf>
    <xf numFmtId="174" fontId="1" fillId="0" borderId="0" applyFont="0" applyFill="0" applyBorder="0" applyAlignment="0" applyProtection="0"/>
    <xf numFmtId="0" fontId="6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7" fillId="0" borderId="0"/>
    <xf numFmtId="172" fontId="8" fillId="0" borderId="0">
      <alignment horizontal="left"/>
    </xf>
    <xf numFmtId="173" fontId="9" fillId="0" borderId="0"/>
    <xf numFmtId="172" fontId="8" fillId="0" borderId="0">
      <alignment horizontal="left"/>
    </xf>
    <xf numFmtId="0" fontId="1" fillId="0" borderId="0"/>
    <xf numFmtId="0" fontId="15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" fillId="0" borderId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/>
    <xf numFmtId="171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</cellStyleXfs>
  <cellXfs count="383">
    <xf numFmtId="0" fontId="0" fillId="0" borderId="0" xfId="0"/>
    <xf numFmtId="0" fontId="17" fillId="0" borderId="0" xfId="18" applyFont="1" applyFill="1" applyBorder="1" applyAlignment="1"/>
    <xf numFmtId="0" fontId="10" fillId="0" borderId="0" xfId="18" applyFont="1" applyFill="1" applyBorder="1"/>
    <xf numFmtId="0" fontId="10" fillId="0" borderId="0" xfId="18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center"/>
    </xf>
    <xf numFmtId="0" fontId="18" fillId="0" borderId="0" xfId="16" applyFont="1" applyFill="1" applyBorder="1" applyAlignment="1">
      <alignment horizontal="left"/>
    </xf>
    <xf numFmtId="0" fontId="10" fillId="0" borderId="0" xfId="0" applyFont="1" applyFill="1" applyBorder="1"/>
    <xf numFmtId="0" fontId="17" fillId="0" borderId="0" xfId="0" applyFont="1" applyFill="1" applyBorder="1"/>
    <xf numFmtId="0" fontId="10" fillId="0" borderId="0" xfId="0" applyFont="1" applyFill="1"/>
    <xf numFmtId="164" fontId="10" fillId="0" borderId="0" xfId="0" applyNumberFormat="1" applyFont="1" applyFill="1" applyAlignment="1"/>
    <xf numFmtId="164" fontId="10" fillId="0" borderId="0" xfId="0" applyNumberFormat="1" applyFont="1" applyFill="1" applyAlignment="1">
      <alignment horizontal="center"/>
    </xf>
    <xf numFmtId="0" fontId="10" fillId="0" borderId="0" xfId="18" applyFont="1" applyFill="1" applyBorder="1" applyAlignment="1"/>
    <xf numFmtId="0" fontId="17" fillId="0" borderId="0" xfId="18" applyFont="1" applyFill="1" applyBorder="1" applyAlignment="1">
      <alignment horizontal="center"/>
    </xf>
    <xf numFmtId="0" fontId="19" fillId="0" borderId="0" xfId="18" applyFont="1" applyFill="1" applyBorder="1"/>
    <xf numFmtId="14" fontId="10" fillId="0" borderId="0" xfId="18" applyNumberFormat="1" applyFont="1" applyFill="1" applyBorder="1"/>
    <xf numFmtId="0" fontId="17" fillId="0" borderId="1" xfId="18" applyFont="1" applyFill="1" applyBorder="1" applyAlignment="1">
      <alignment horizontal="center" vertical="center" wrapText="1"/>
    </xf>
    <xf numFmtId="0" fontId="10" fillId="0" borderId="1" xfId="18" applyFont="1" applyFill="1" applyBorder="1" applyAlignment="1">
      <alignment horizontal="center" vertical="center" wrapText="1"/>
    </xf>
    <xf numFmtId="2" fontId="17" fillId="2" borderId="1" xfId="18" applyNumberFormat="1" applyFont="1" applyFill="1" applyBorder="1" applyAlignment="1">
      <alignment wrapText="1"/>
    </xf>
    <xf numFmtId="3" fontId="17" fillId="2" borderId="1" xfId="18" applyNumberFormat="1" applyFont="1" applyFill="1" applyBorder="1" applyAlignment="1">
      <alignment horizontal="right" wrapText="1"/>
    </xf>
    <xf numFmtId="0" fontId="17" fillId="2" borderId="1" xfId="18" applyFont="1" applyFill="1" applyBorder="1" applyAlignment="1">
      <alignment horizontal="left" wrapText="1"/>
    </xf>
    <xf numFmtId="3" fontId="17" fillId="2" borderId="1" xfId="18" applyNumberFormat="1" applyFont="1" applyFill="1" applyBorder="1" applyAlignment="1"/>
    <xf numFmtId="0" fontId="17" fillId="0" borderId="0" xfId="0" applyFont="1" applyFill="1"/>
    <xf numFmtId="0" fontId="17" fillId="3" borderId="2" xfId="18" applyFont="1" applyFill="1" applyBorder="1" applyAlignment="1">
      <alignment vertical="center"/>
    </xf>
    <xf numFmtId="0" fontId="17" fillId="3" borderId="3" xfId="18" applyFont="1" applyFill="1" applyBorder="1" applyAlignment="1">
      <alignment vertical="center"/>
    </xf>
    <xf numFmtId="3" fontId="17" fillId="3" borderId="1" xfId="18" applyNumberFormat="1" applyFont="1" applyFill="1" applyBorder="1" applyAlignment="1">
      <alignment vertical="center"/>
    </xf>
    <xf numFmtId="3" fontId="17" fillId="3" borderId="1" xfId="18" applyNumberFormat="1" applyFont="1" applyFill="1" applyBorder="1" applyAlignment="1">
      <alignment horizontal="right" vertical="center"/>
    </xf>
    <xf numFmtId="0" fontId="17" fillId="0" borderId="1" xfId="18" applyFont="1" applyFill="1" applyBorder="1" applyAlignment="1">
      <alignment vertical="center" wrapText="1"/>
    </xf>
    <xf numFmtId="3" fontId="17" fillId="0" borderId="1" xfId="18" applyNumberFormat="1" applyFont="1" applyFill="1" applyBorder="1" applyAlignment="1">
      <alignment horizontal="right" wrapText="1"/>
    </xf>
    <xf numFmtId="0" fontId="10" fillId="0" borderId="1" xfId="18" applyFont="1" applyFill="1" applyBorder="1" applyAlignment="1">
      <alignment vertical="center" wrapText="1"/>
    </xf>
    <xf numFmtId="3" fontId="10" fillId="0" borderId="1" xfId="18" applyNumberFormat="1" applyFont="1" applyFill="1" applyBorder="1" applyAlignment="1">
      <alignment horizontal="right"/>
    </xf>
    <xf numFmtId="0" fontId="17" fillId="0" borderId="1" xfId="18" applyFont="1" applyFill="1" applyBorder="1" applyAlignment="1">
      <alignment horizontal="left" vertical="center" wrapText="1" indent="1"/>
    </xf>
    <xf numFmtId="3" fontId="17" fillId="0" borderId="1" xfId="18" applyNumberFormat="1" applyFont="1" applyFill="1" applyBorder="1" applyAlignment="1">
      <alignment vertical="center" wrapText="1"/>
    </xf>
    <xf numFmtId="9" fontId="17" fillId="0" borderId="1" xfId="18" applyNumberFormat="1" applyFont="1" applyFill="1" applyBorder="1" applyAlignment="1">
      <alignment horizontal="right" wrapText="1"/>
    </xf>
    <xf numFmtId="3" fontId="10" fillId="7" borderId="1" xfId="18" applyNumberFormat="1" applyFont="1" applyFill="1" applyBorder="1" applyAlignment="1">
      <alignment horizontal="right"/>
    </xf>
    <xf numFmtId="3" fontId="10" fillId="0" borderId="1" xfId="18" applyNumberFormat="1" applyFont="1" applyFill="1" applyBorder="1" applyAlignment="1">
      <alignment horizontal="right" wrapText="1"/>
    </xf>
    <xf numFmtId="0" fontId="17" fillId="2" borderId="1" xfId="18" applyFont="1" applyFill="1" applyBorder="1" applyAlignment="1">
      <alignment vertical="center" wrapText="1"/>
    </xf>
    <xf numFmtId="3" fontId="17" fillId="3" borderId="1" xfId="18" applyNumberFormat="1" applyFont="1" applyFill="1" applyBorder="1" applyAlignment="1">
      <alignment horizontal="right" wrapText="1"/>
    </xf>
    <xf numFmtId="3" fontId="17" fillId="0" borderId="1" xfId="18" applyNumberFormat="1" applyFont="1" applyFill="1" applyBorder="1" applyAlignment="1">
      <alignment horizontal="right"/>
    </xf>
    <xf numFmtId="0" fontId="10" fillId="0" borderId="1" xfId="18" applyFont="1" applyFill="1" applyBorder="1" applyAlignment="1">
      <alignment wrapText="1"/>
    </xf>
    <xf numFmtId="0" fontId="17" fillId="2" borderId="1" xfId="18" applyFont="1" applyFill="1" applyBorder="1" applyAlignment="1">
      <alignment wrapText="1"/>
    </xf>
    <xf numFmtId="1" fontId="20" fillId="0" borderId="2" xfId="18" applyNumberFormat="1" applyFont="1" applyFill="1" applyBorder="1" applyAlignment="1">
      <alignment wrapText="1"/>
    </xf>
    <xf numFmtId="3" fontId="21" fillId="0" borderId="1" xfId="18" applyNumberFormat="1" applyFont="1" applyFill="1" applyBorder="1" applyAlignment="1">
      <alignment horizontal="right" wrapText="1"/>
    </xf>
    <xf numFmtId="3" fontId="20" fillId="0" borderId="1" xfId="18" applyNumberFormat="1" applyFont="1" applyFill="1" applyBorder="1" applyAlignment="1">
      <alignment horizontal="right" wrapText="1"/>
    </xf>
    <xf numFmtId="1" fontId="21" fillId="0" borderId="0" xfId="0" applyNumberFormat="1" applyFont="1" applyFill="1"/>
    <xf numFmtId="0" fontId="10" fillId="0" borderId="1" xfId="18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horizontal="right"/>
    </xf>
    <xf numFmtId="164" fontId="10" fillId="0" borderId="2" xfId="12" applyNumberFormat="1" applyFont="1" applyFill="1" applyBorder="1" applyAlignment="1">
      <alignment vertical="center" wrapText="1"/>
    </xf>
    <xf numFmtId="164" fontId="10" fillId="0" borderId="1" xfId="12" applyNumberFormat="1" applyFont="1" applyFill="1" applyBorder="1" applyAlignment="1">
      <alignment horizontal="right" vertical="center" wrapText="1"/>
    </xf>
    <xf numFmtId="0" fontId="10" fillId="0" borderId="0" xfId="16" applyFont="1" applyFill="1"/>
    <xf numFmtId="0" fontId="17" fillId="0" borderId="1" xfId="18" applyFont="1" applyFill="1" applyBorder="1" applyAlignment="1">
      <alignment vertical="center"/>
    </xf>
    <xf numFmtId="3" fontId="17" fillId="7" borderId="1" xfId="18" applyNumberFormat="1" applyFont="1" applyFill="1" applyBorder="1" applyAlignment="1">
      <alignment horizontal="right" wrapText="1"/>
    </xf>
    <xf numFmtId="164" fontId="17" fillId="0" borderId="1" xfId="18" applyNumberFormat="1" applyFont="1" applyFill="1" applyBorder="1" applyAlignment="1">
      <alignment horizontal="right" vertical="center"/>
    </xf>
    <xf numFmtId="164" fontId="17" fillId="0" borderId="1" xfId="18" applyNumberFormat="1" applyFont="1" applyFill="1" applyBorder="1" applyAlignment="1">
      <alignment horizontal="right" wrapText="1"/>
    </xf>
    <xf numFmtId="0" fontId="10" fillId="0" borderId="0" xfId="0" applyFont="1" applyFill="1" applyBorder="1" applyAlignment="1"/>
    <xf numFmtId="164" fontId="10" fillId="0" borderId="0" xfId="0" applyNumberFormat="1" applyFont="1" applyFill="1" applyBorder="1" applyAlignment="1"/>
    <xf numFmtId="0" fontId="17" fillId="0" borderId="0" xfId="0" applyFont="1" applyFill="1" applyBorder="1" applyAlignment="1"/>
    <xf numFmtId="3" fontId="17" fillId="0" borderId="0" xfId="0" applyNumberFormat="1" applyFont="1" applyFill="1" applyBorder="1"/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Fill="1" applyBorder="1"/>
    <xf numFmtId="169" fontId="17" fillId="0" borderId="0" xfId="0" applyNumberFormat="1" applyFont="1" applyFill="1" applyBorder="1" applyAlignment="1"/>
    <xf numFmtId="0" fontId="10" fillId="0" borderId="0" xfId="0" applyFont="1" applyFill="1" applyAlignment="1"/>
    <xf numFmtId="0" fontId="17" fillId="0" borderId="0" xfId="0" applyFont="1" applyFill="1" applyAlignment="1"/>
    <xf numFmtId="0" fontId="17" fillId="0" borderId="0" xfId="0" applyFont="1"/>
    <xf numFmtId="0" fontId="17" fillId="2" borderId="0" xfId="0" applyFont="1" applyFill="1" applyBorder="1" applyAlignment="1">
      <alignment horizontal="center"/>
    </xf>
    <xf numFmtId="3" fontId="26" fillId="0" borderId="0" xfId="0" applyNumberFormat="1" applyFont="1" applyFill="1" applyBorder="1" applyAlignment="1"/>
    <xf numFmtId="0" fontId="10" fillId="3" borderId="0" xfId="0" applyFont="1" applyFill="1" applyBorder="1" applyAlignment="1"/>
    <xf numFmtId="3" fontId="10" fillId="3" borderId="0" xfId="0" applyNumberFormat="1" applyFont="1" applyFill="1" applyBorder="1"/>
    <xf numFmtId="0" fontId="10" fillId="4" borderId="0" xfId="0" applyFont="1" applyFill="1" applyBorder="1" applyAlignment="1"/>
    <xf numFmtId="3" fontId="10" fillId="4" borderId="0" xfId="0" applyNumberFormat="1" applyFont="1" applyFill="1" applyBorder="1"/>
    <xf numFmtId="4" fontId="10" fillId="0" borderId="0" xfId="0" applyNumberFormat="1" applyFont="1" applyFill="1" applyBorder="1"/>
    <xf numFmtId="9" fontId="17" fillId="0" borderId="0" xfId="0" applyNumberFormat="1" applyFont="1" applyFill="1" applyBorder="1"/>
    <xf numFmtId="0" fontId="10" fillId="0" borderId="0" xfId="14" applyFont="1"/>
    <xf numFmtId="0" fontId="10" fillId="0" borderId="0" xfId="14" applyFont="1" applyAlignment="1">
      <alignment vertical="center"/>
    </xf>
    <xf numFmtId="0" fontId="10" fillId="0" borderId="0" xfId="14" applyFont="1" applyAlignment="1">
      <alignment horizontal="right" vertical="center"/>
    </xf>
    <xf numFmtId="0" fontId="10" fillId="0" borderId="0" xfId="14" applyFont="1" applyBorder="1" applyAlignment="1">
      <alignment vertical="center"/>
    </xf>
    <xf numFmtId="3" fontId="10" fillId="0" borderId="0" xfId="14" applyNumberFormat="1" applyFont="1" applyBorder="1" applyAlignment="1">
      <alignment horizontal="right" vertical="center"/>
    </xf>
    <xf numFmtId="0" fontId="10" fillId="0" borderId="0" xfId="14" applyFont="1" applyBorder="1" applyAlignment="1">
      <alignment horizontal="right" vertical="center"/>
    </xf>
    <xf numFmtId="0" fontId="10" fillId="0" borderId="0" xfId="14" applyFont="1" applyBorder="1" applyAlignment="1">
      <alignment horizontal="left" vertical="center"/>
    </xf>
    <xf numFmtId="0" fontId="10" fillId="0" borderId="0" xfId="0" applyFont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0" borderId="1" xfId="0" applyFont="1" applyBorder="1"/>
    <xf numFmtId="4" fontId="10" fillId="2" borderId="1" xfId="0" applyNumberFormat="1" applyFont="1" applyFill="1" applyBorder="1"/>
    <xf numFmtId="0" fontId="10" fillId="0" borderId="1" xfId="0" applyFont="1" applyBorder="1" applyAlignment="1">
      <alignment horizontal="center"/>
    </xf>
    <xf numFmtId="9" fontId="10" fillId="2" borderId="1" xfId="0" applyNumberFormat="1" applyFont="1" applyFill="1" applyBorder="1"/>
    <xf numFmtId="0" fontId="10" fillId="7" borderId="1" xfId="0" applyFont="1" applyFill="1" applyBorder="1" applyAlignment="1">
      <alignment horizontal="right"/>
    </xf>
    <xf numFmtId="169" fontId="10" fillId="2" borderId="1" xfId="0" applyNumberFormat="1" applyFont="1" applyFill="1" applyBorder="1"/>
    <xf numFmtId="0" fontId="17" fillId="0" borderId="0" xfId="18" applyFont="1" applyFill="1" applyBorder="1" applyAlignment="1">
      <alignment horizontal="left" wrapText="1" shrinkToFit="1"/>
    </xf>
    <xf numFmtId="0" fontId="10" fillId="0" borderId="0" xfId="18" applyFont="1" applyFill="1" applyBorder="1" applyAlignment="1">
      <alignment wrapText="1" shrinkToFit="1"/>
    </xf>
    <xf numFmtId="0" fontId="17" fillId="0" borderId="0" xfId="18" applyFont="1" applyFill="1" applyBorder="1" applyAlignment="1">
      <alignment wrapText="1" shrinkToFit="1"/>
    </xf>
    <xf numFmtId="0" fontId="27" fillId="0" borderId="0" xfId="18" applyNumberFormat="1" applyFont="1" applyFill="1" applyBorder="1" applyAlignment="1">
      <alignment horizontal="left"/>
    </xf>
    <xf numFmtId="9" fontId="27" fillId="0" borderId="0" xfId="18" applyNumberFormat="1" applyFont="1" applyFill="1" applyBorder="1" applyAlignment="1">
      <alignment wrapText="1" shrinkToFit="1"/>
    </xf>
    <xf numFmtId="0" fontId="17" fillId="3" borderId="1" xfId="18" applyFont="1" applyFill="1" applyBorder="1" applyAlignment="1">
      <alignment horizontal="center" vertical="center" wrapText="1" shrinkToFit="1"/>
    </xf>
    <xf numFmtId="0" fontId="17" fillId="3" borderId="4" xfId="18" applyFont="1" applyFill="1" applyBorder="1" applyAlignment="1">
      <alignment horizontal="center" vertical="center" wrapText="1" shrinkToFit="1"/>
    </xf>
    <xf numFmtId="164" fontId="17" fillId="3" borderId="1" xfId="18" applyNumberFormat="1" applyFont="1" applyFill="1" applyBorder="1" applyAlignment="1">
      <alignment horizontal="center" vertical="center" wrapText="1" shrinkToFit="1"/>
    </xf>
    <xf numFmtId="0" fontId="17" fillId="3" borderId="5" xfId="18" applyFont="1" applyFill="1" applyBorder="1" applyAlignment="1">
      <alignment horizontal="center" vertical="center" wrapText="1" shrinkToFit="1"/>
    </xf>
    <xf numFmtId="3" fontId="10" fillId="3" borderId="1" xfId="18" applyNumberFormat="1" applyFont="1" applyFill="1" applyBorder="1" applyAlignment="1">
      <alignment horizontal="center" vertical="center" wrapText="1" shrinkToFit="1"/>
    </xf>
    <xf numFmtId="0" fontId="17" fillId="0" borderId="2" xfId="18" applyFont="1" applyFill="1" applyBorder="1" applyAlignment="1">
      <alignment horizontal="left" vertical="top" wrapText="1" shrinkToFit="1"/>
    </xf>
    <xf numFmtId="3" fontId="17" fillId="0" borderId="1" xfId="18" applyNumberFormat="1" applyFont="1" applyFill="1" applyBorder="1" applyAlignment="1">
      <alignment horizontal="center" vertical="center"/>
    </xf>
    <xf numFmtId="3" fontId="17" fillId="0" borderId="5" xfId="18" applyNumberFormat="1" applyFont="1" applyFill="1" applyBorder="1" applyAlignment="1">
      <alignment horizontal="center" vertical="center"/>
    </xf>
    <xf numFmtId="164" fontId="17" fillId="0" borderId="0" xfId="18" applyNumberFormat="1" applyFont="1" applyFill="1" applyBorder="1" applyAlignment="1" applyProtection="1">
      <alignment wrapText="1" shrinkToFit="1"/>
      <protection locked="0"/>
    </xf>
    <xf numFmtId="0" fontId="10" fillId="0" borderId="2" xfId="18" applyFont="1" applyFill="1" applyBorder="1" applyAlignment="1">
      <alignment horizontal="left" vertical="top" wrapText="1" indent="3" shrinkToFit="1"/>
    </xf>
    <xf numFmtId="3" fontId="10" fillId="0" borderId="5" xfId="18" applyNumberFormat="1" applyFont="1" applyFill="1" applyBorder="1" applyAlignment="1">
      <alignment horizontal="center" vertical="center"/>
    </xf>
    <xf numFmtId="3" fontId="17" fillId="0" borderId="5" xfId="18" applyNumberFormat="1" applyFont="1" applyFill="1" applyBorder="1" applyAlignment="1">
      <alignment horizontal="center" vertical="top"/>
    </xf>
    <xf numFmtId="0" fontId="10" fillId="0" borderId="2" xfId="18" applyFont="1" applyFill="1" applyBorder="1" applyAlignment="1">
      <alignment horizontal="left" vertical="top" wrapText="1" shrinkToFit="1"/>
    </xf>
    <xf numFmtId="164" fontId="17" fillId="0" borderId="1" xfId="18" applyNumberFormat="1" applyFont="1" applyFill="1" applyBorder="1" applyAlignment="1">
      <alignment horizontal="center" vertical="top"/>
    </xf>
    <xf numFmtId="164" fontId="17" fillId="0" borderId="5" xfId="18" applyNumberFormat="1" applyFont="1" applyFill="1" applyBorder="1" applyAlignment="1">
      <alignment horizontal="center" vertical="top"/>
    </xf>
    <xf numFmtId="0" fontId="10" fillId="0" borderId="0" xfId="18" applyFont="1" applyFill="1" applyBorder="1" applyAlignment="1">
      <alignment horizontal="left" vertical="top" wrapText="1" shrinkToFit="1"/>
    </xf>
    <xf numFmtId="0" fontId="10" fillId="0" borderId="0" xfId="18" applyFont="1" applyFill="1" applyBorder="1" applyAlignment="1">
      <alignment horizontal="left" vertical="top"/>
    </xf>
    <xf numFmtId="0" fontId="22" fillId="0" borderId="0" xfId="18" applyFont="1" applyFill="1" applyBorder="1" applyAlignment="1">
      <alignment wrapText="1" shrinkToFit="1"/>
    </xf>
    <xf numFmtId="0" fontId="17" fillId="3" borderId="4" xfId="18" applyFont="1" applyFill="1" applyBorder="1" applyAlignment="1">
      <alignment horizontal="center" vertical="center"/>
    </xf>
    <xf numFmtId="164" fontId="17" fillId="3" borderId="3" xfId="18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 shrinkToFit="1"/>
    </xf>
    <xf numFmtId="0" fontId="10" fillId="0" borderId="0" xfId="0" applyFont="1" applyAlignment="1">
      <alignment vertical="center" wrapText="1" shrinkToFit="1"/>
    </xf>
    <xf numFmtId="0" fontId="17" fillId="3" borderId="1" xfId="18" applyFont="1" applyFill="1" applyBorder="1" applyAlignment="1">
      <alignment horizontal="right" vertical="center"/>
    </xf>
    <xf numFmtId="3" fontId="10" fillId="3" borderId="1" xfId="18" applyNumberFormat="1" applyFont="1" applyFill="1" applyBorder="1" applyAlignment="1">
      <alignment horizontal="center" vertical="center"/>
    </xf>
    <xf numFmtId="0" fontId="17" fillId="3" borderId="1" xfId="18" applyFont="1" applyFill="1" applyBorder="1" applyAlignment="1">
      <alignment horizontal="center" vertical="center"/>
    </xf>
    <xf numFmtId="164" fontId="10" fillId="0" borderId="1" xfId="15" applyNumberFormat="1" applyFont="1" applyBorder="1" applyAlignment="1">
      <alignment vertical="center" wrapText="1" shrinkToFit="1"/>
    </xf>
    <xf numFmtId="0" fontId="10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17" fillId="0" borderId="1" xfId="0" applyNumberFormat="1" applyFont="1" applyBorder="1" applyAlignment="1">
      <alignment vertical="center"/>
    </xf>
    <xf numFmtId="164" fontId="28" fillId="0" borderId="0" xfId="18" applyNumberFormat="1" applyFont="1" applyFill="1" applyBorder="1" applyAlignment="1">
      <alignment wrapText="1" shrinkToFit="1"/>
    </xf>
    <xf numFmtId="0" fontId="17" fillId="0" borderId="0" xfId="19" applyFont="1" applyFill="1" applyBorder="1" applyAlignment="1">
      <alignment horizontal="left" wrapText="1" shrinkToFit="1"/>
    </xf>
    <xf numFmtId="0" fontId="10" fillId="0" borderId="0" xfId="19" applyFont="1" applyFill="1" applyBorder="1" applyAlignment="1">
      <alignment wrapText="1" shrinkToFit="1"/>
    </xf>
    <xf numFmtId="3" fontId="10" fillId="0" borderId="0" xfId="19" applyNumberFormat="1" applyFont="1" applyFill="1" applyBorder="1" applyAlignment="1">
      <alignment wrapText="1" shrinkToFit="1"/>
    </xf>
    <xf numFmtId="0" fontId="17" fillId="3" borderId="1" xfId="19" applyFont="1" applyFill="1" applyBorder="1" applyAlignment="1">
      <alignment horizontal="center" vertical="center"/>
    </xf>
    <xf numFmtId="0" fontId="17" fillId="3" borderId="4" xfId="19" applyFont="1" applyFill="1" applyBorder="1" applyAlignment="1">
      <alignment horizontal="center" vertical="center"/>
    </xf>
    <xf numFmtId="164" fontId="17" fillId="3" borderId="1" xfId="19" applyNumberFormat="1" applyFont="1" applyFill="1" applyBorder="1" applyAlignment="1">
      <alignment horizontal="center" vertical="center"/>
    </xf>
    <xf numFmtId="0" fontId="17" fillId="3" borderId="5" xfId="19" applyFont="1" applyFill="1" applyBorder="1" applyAlignment="1">
      <alignment horizontal="center" vertical="center"/>
    </xf>
    <xf numFmtId="3" fontId="10" fillId="3" borderId="1" xfId="19" applyNumberFormat="1" applyFont="1" applyFill="1" applyBorder="1" applyAlignment="1">
      <alignment horizontal="center" vertical="center"/>
    </xf>
    <xf numFmtId="0" fontId="17" fillId="0" borderId="2" xfId="19" applyFont="1" applyFill="1" applyBorder="1" applyAlignment="1">
      <alignment horizontal="left" vertical="top" wrapText="1" shrinkToFit="1"/>
    </xf>
    <xf numFmtId="3" fontId="17" fillId="0" borderId="1" xfId="19" applyNumberFormat="1" applyFont="1" applyFill="1" applyBorder="1" applyAlignment="1">
      <alignment horizontal="center" vertical="center"/>
    </xf>
    <xf numFmtId="3" fontId="17" fillId="0" borderId="5" xfId="19" applyNumberFormat="1" applyFont="1" applyFill="1" applyBorder="1" applyAlignment="1">
      <alignment horizontal="center" vertical="center"/>
    </xf>
    <xf numFmtId="164" fontId="17" fillId="0" borderId="0" xfId="19" applyNumberFormat="1" applyFont="1" applyFill="1" applyBorder="1" applyAlignment="1" applyProtection="1">
      <alignment wrapText="1" shrinkToFit="1"/>
      <protection locked="0"/>
    </xf>
    <xf numFmtId="0" fontId="17" fillId="0" borderId="0" xfId="19" applyFont="1" applyFill="1" applyBorder="1" applyAlignment="1">
      <alignment wrapText="1" shrinkToFit="1"/>
    </xf>
    <xf numFmtId="0" fontId="10" fillId="0" borderId="2" xfId="19" applyFont="1" applyFill="1" applyBorder="1" applyAlignment="1">
      <alignment horizontal="left" vertical="top" wrapText="1" indent="1" shrinkToFit="1"/>
    </xf>
    <xf numFmtId="3" fontId="10" fillId="0" borderId="5" xfId="19" applyNumberFormat="1" applyFont="1" applyFill="1" applyBorder="1" applyAlignment="1">
      <alignment horizontal="center" vertical="center"/>
    </xf>
    <xf numFmtId="3" fontId="10" fillId="0" borderId="1" xfId="19" applyNumberFormat="1" applyFont="1" applyFill="1" applyBorder="1" applyAlignment="1">
      <alignment horizontal="center" vertical="center"/>
    </xf>
    <xf numFmtId="0" fontId="10" fillId="0" borderId="0" xfId="19" applyFont="1" applyFill="1" applyBorder="1" applyAlignment="1">
      <alignment horizontal="left" vertical="top" wrapText="1" shrinkToFit="1"/>
    </xf>
    <xf numFmtId="0" fontId="10" fillId="0" borderId="0" xfId="19" applyFont="1" applyFill="1" applyBorder="1" applyAlignment="1">
      <alignment horizontal="left" vertical="top"/>
    </xf>
    <xf numFmtId="0" fontId="18" fillId="0" borderId="6" xfId="19" applyFont="1" applyFill="1" applyBorder="1" applyAlignment="1">
      <alignment wrapText="1" shrinkToFit="1"/>
    </xf>
    <xf numFmtId="0" fontId="10" fillId="0" borderId="6" xfId="19" applyFont="1" applyFill="1" applyBorder="1" applyAlignment="1">
      <alignment wrapText="1" shrinkToFit="1"/>
    </xf>
    <xf numFmtId="4" fontId="10" fillId="0" borderId="6" xfId="19" applyNumberFormat="1" applyFont="1" applyFill="1" applyBorder="1" applyAlignment="1">
      <alignment wrapText="1" shrinkToFit="1"/>
    </xf>
    <xf numFmtId="3" fontId="10" fillId="0" borderId="6" xfId="19" applyNumberFormat="1" applyFont="1" applyFill="1" applyBorder="1" applyAlignment="1">
      <alignment wrapText="1" shrinkToFit="1"/>
    </xf>
    <xf numFmtId="0" fontId="17" fillId="0" borderId="0" xfId="0" applyFont="1" applyAlignment="1">
      <alignment horizontal="center"/>
    </xf>
    <xf numFmtId="0" fontId="17" fillId="3" borderId="1" xfId="0" applyFont="1" applyFill="1" applyBorder="1"/>
    <xf numFmtId="0" fontId="17" fillId="3" borderId="1" xfId="0" applyFont="1" applyFill="1" applyBorder="1" applyAlignment="1">
      <alignment horizontal="center"/>
    </xf>
    <xf numFmtId="0" fontId="17" fillId="5" borderId="1" xfId="0" applyFont="1" applyFill="1" applyBorder="1"/>
    <xf numFmtId="3" fontId="17" fillId="5" borderId="1" xfId="0" applyNumberFormat="1" applyFont="1" applyFill="1" applyBorder="1"/>
    <xf numFmtId="3" fontId="10" fillId="7" borderId="1" xfId="0" applyNumberFormat="1" applyFont="1" applyFill="1" applyBorder="1"/>
    <xf numFmtId="3" fontId="10" fillId="0" borderId="1" xfId="0" applyNumberFormat="1" applyFont="1" applyFill="1" applyBorder="1"/>
    <xf numFmtId="0" fontId="1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 shrinkToFit="1"/>
    </xf>
    <xf numFmtId="0" fontId="17" fillId="5" borderId="1" xfId="0" applyFont="1" applyFill="1" applyBorder="1" applyAlignment="1">
      <alignment horizontal="left" vertical="center" wrapText="1" shrinkToFit="1"/>
    </xf>
    <xf numFmtId="3" fontId="10" fillId="0" borderId="1" xfId="0" applyNumberFormat="1" applyFont="1" applyBorder="1"/>
    <xf numFmtId="3" fontId="17" fillId="0" borderId="1" xfId="0" applyNumberFormat="1" applyFont="1" applyBorder="1"/>
    <xf numFmtId="0" fontId="17" fillId="0" borderId="1" xfId="0" applyFont="1" applyBorder="1"/>
    <xf numFmtId="0" fontId="17" fillId="0" borderId="1" xfId="0" applyFont="1" applyBorder="1" applyAlignment="1">
      <alignment horizontal="left" vertical="center" wrapText="1" shrinkToFit="1"/>
    </xf>
    <xf numFmtId="9" fontId="17" fillId="0" borderId="0" xfId="0" applyNumberFormat="1" applyFont="1"/>
    <xf numFmtId="3" fontId="17" fillId="6" borderId="1" xfId="0" applyNumberFormat="1" applyFont="1" applyFill="1" applyBorder="1"/>
    <xf numFmtId="9" fontId="10" fillId="0" borderId="1" xfId="0" applyNumberFormat="1" applyFont="1" applyFill="1" applyBorder="1"/>
    <xf numFmtId="0" fontId="10" fillId="0" borderId="0" xfId="0" applyFont="1" applyBorder="1"/>
    <xf numFmtId="3" fontId="10" fillId="0" borderId="0" xfId="0" applyNumberFormat="1" applyFont="1" applyBorder="1"/>
    <xf numFmtId="9" fontId="10" fillId="0" borderId="0" xfId="0" applyNumberFormat="1" applyFont="1" applyBorder="1"/>
    <xf numFmtId="168" fontId="10" fillId="0" borderId="0" xfId="0" applyNumberFormat="1" applyFont="1" applyBorder="1"/>
    <xf numFmtId="1" fontId="10" fillId="0" borderId="1" xfId="0" applyNumberFormat="1" applyFont="1" applyFill="1" applyBorder="1"/>
    <xf numFmtId="0" fontId="22" fillId="0" borderId="0" xfId="0" applyFont="1" applyAlignment="1"/>
    <xf numFmtId="0" fontId="10" fillId="0" borderId="1" xfId="0" applyFont="1" applyBorder="1" applyAlignment="1">
      <alignment wrapText="1"/>
    </xf>
    <xf numFmtId="3" fontId="17" fillId="3" borderId="1" xfId="0" applyNumberFormat="1" applyFont="1" applyFill="1" applyBorder="1"/>
    <xf numFmtId="169" fontId="10" fillId="0" borderId="0" xfId="0" applyNumberFormat="1" applyFont="1"/>
    <xf numFmtId="165" fontId="10" fillId="2" borderId="1" xfId="20" applyNumberFormat="1" applyFont="1" applyFill="1" applyBorder="1"/>
    <xf numFmtId="169" fontId="10" fillId="0" borderId="1" xfId="0" applyNumberFormat="1" applyFont="1" applyBorder="1"/>
    <xf numFmtId="178" fontId="10" fillId="0" borderId="0" xfId="0" applyNumberFormat="1" applyFont="1"/>
    <xf numFmtId="165" fontId="10" fillId="0" borderId="1" xfId="20" applyNumberFormat="1" applyFont="1" applyFill="1" applyBorder="1"/>
    <xf numFmtId="3" fontId="10" fillId="0" borderId="0" xfId="0" applyNumberFormat="1" applyFont="1" applyFill="1"/>
    <xf numFmtId="9" fontId="10" fillId="0" borderId="1" xfId="20" applyFont="1" applyFill="1" applyBorder="1"/>
    <xf numFmtId="177" fontId="10" fillId="0" borderId="1" xfId="24" applyNumberFormat="1" applyFont="1" applyBorder="1"/>
    <xf numFmtId="9" fontId="10" fillId="2" borderId="1" xfId="20" applyFont="1" applyFill="1" applyBorder="1"/>
    <xf numFmtId="0" fontId="10" fillId="0" borderId="2" xfId="0" applyFont="1" applyBorder="1"/>
    <xf numFmtId="0" fontId="17" fillId="3" borderId="5" xfId="0" applyFont="1" applyFill="1" applyBorder="1" applyAlignment="1">
      <alignment horizontal="center"/>
    </xf>
    <xf numFmtId="0" fontId="10" fillId="0" borderId="0" xfId="13" applyFont="1" applyFill="1" applyProtection="1">
      <protection locked="0"/>
    </xf>
    <xf numFmtId="0" fontId="17" fillId="0" borderId="0" xfId="13" applyFont="1" applyFill="1" applyProtection="1">
      <protection locked="0"/>
    </xf>
    <xf numFmtId="9" fontId="18" fillId="0" borderId="0" xfId="13" applyNumberFormat="1" applyFont="1" applyFill="1" applyProtection="1">
      <protection locked="0"/>
    </xf>
    <xf numFmtId="164" fontId="10" fillId="0" borderId="0" xfId="13" applyNumberFormat="1" applyFont="1" applyFill="1" applyProtection="1">
      <protection locked="0"/>
    </xf>
    <xf numFmtId="164" fontId="18" fillId="0" borderId="0" xfId="13" applyNumberFormat="1" applyFont="1" applyFill="1" applyProtection="1">
      <protection locked="0"/>
    </xf>
    <xf numFmtId="9" fontId="17" fillId="0" borderId="0" xfId="13" applyNumberFormat="1" applyFont="1" applyFill="1" applyProtection="1">
      <protection locked="0"/>
    </xf>
    <xf numFmtId="0" fontId="22" fillId="0" borderId="0" xfId="13" applyFont="1" applyFill="1" applyProtection="1">
      <protection locked="0"/>
    </xf>
    <xf numFmtId="0" fontId="17" fillId="0" borderId="1" xfId="13" applyFont="1" applyFill="1" applyBorder="1" applyProtection="1">
      <protection locked="0"/>
    </xf>
    <xf numFmtId="3" fontId="10" fillId="0" borderId="1" xfId="13" applyNumberFormat="1" applyFont="1" applyFill="1" applyBorder="1" applyAlignment="1" applyProtection="1">
      <alignment horizontal="center"/>
      <protection locked="0"/>
    </xf>
    <xf numFmtId="0" fontId="10" fillId="0" borderId="1" xfId="13" applyFont="1" applyFill="1" applyBorder="1" applyAlignment="1" applyProtection="1">
      <alignment vertical="top"/>
      <protection locked="0"/>
    </xf>
    <xf numFmtId="165" fontId="18" fillId="0" borderId="0" xfId="13" applyNumberFormat="1" applyFont="1" applyFill="1" applyProtection="1">
      <protection locked="0"/>
    </xf>
    <xf numFmtId="0" fontId="10" fillId="0" borderId="1" xfId="17" applyFont="1" applyFill="1" applyBorder="1" applyAlignment="1">
      <alignment horizontal="left" vertical="center" wrapText="1"/>
    </xf>
    <xf numFmtId="0" fontId="17" fillId="0" borderId="1" xfId="17" applyFont="1" applyFill="1" applyBorder="1" applyAlignment="1">
      <alignment horizontal="center" vertical="center"/>
    </xf>
    <xf numFmtId="0" fontId="10" fillId="0" borderId="1" xfId="19" applyFont="1" applyFill="1" applyBorder="1" applyAlignment="1">
      <alignment horizontal="center" vertical="center"/>
    </xf>
    <xf numFmtId="0" fontId="17" fillId="0" borderId="1" xfId="19" applyFont="1" applyFill="1" applyBorder="1" applyAlignment="1">
      <alignment horizontal="center" vertical="center"/>
    </xf>
    <xf numFmtId="0" fontId="10" fillId="0" borderId="0" xfId="13" applyFont="1" applyFill="1" applyAlignment="1" applyProtection="1">
      <alignment horizontal="center"/>
      <protection locked="0"/>
    </xf>
    <xf numFmtId="164" fontId="10" fillId="0" borderId="1" xfId="17" applyNumberFormat="1" applyFont="1" applyFill="1" applyBorder="1" applyAlignment="1">
      <alignment horizontal="right" vertical="center"/>
    </xf>
    <xf numFmtId="164" fontId="10" fillId="0" borderId="1" xfId="13" applyNumberFormat="1" applyFont="1" applyFill="1" applyBorder="1" applyAlignment="1" applyProtection="1">
      <protection locked="0"/>
    </xf>
    <xf numFmtId="164" fontId="17" fillId="0" borderId="1" xfId="13" applyNumberFormat="1" applyFont="1" applyFill="1" applyBorder="1" applyAlignment="1" applyProtection="1">
      <protection locked="0"/>
    </xf>
    <xf numFmtId="0" fontId="10" fillId="0" borderId="0" xfId="13" applyFont="1" applyFill="1" applyAlignment="1" applyProtection="1">
      <protection locked="0"/>
    </xf>
    <xf numFmtId="0" fontId="10" fillId="0" borderId="0" xfId="13" applyFont="1" applyFill="1" applyAlignment="1" applyProtection="1">
      <alignment vertical="center"/>
      <protection locked="0"/>
    </xf>
    <xf numFmtId="0" fontId="10" fillId="4" borderId="1" xfId="17" applyFont="1" applyFill="1" applyBorder="1" applyAlignment="1">
      <alignment horizontal="left" vertical="center" wrapText="1" indent="2"/>
    </xf>
    <xf numFmtId="164" fontId="10" fillId="8" borderId="1" xfId="13" applyNumberFormat="1" applyFont="1" applyFill="1" applyBorder="1" applyAlignment="1" applyProtection="1">
      <protection locked="0"/>
    </xf>
    <xf numFmtId="164" fontId="10" fillId="0" borderId="0" xfId="13" applyNumberFormat="1" applyFont="1" applyFill="1" applyAlignment="1" applyProtection="1">
      <protection locked="0"/>
    </xf>
    <xf numFmtId="164" fontId="28" fillId="0" borderId="0" xfId="13" applyNumberFormat="1" applyFont="1" applyFill="1" applyProtection="1">
      <protection locked="0"/>
    </xf>
    <xf numFmtId="3" fontId="10" fillId="0" borderId="0" xfId="0" applyNumberFormat="1" applyFont="1"/>
    <xf numFmtId="179" fontId="10" fillId="0" borderId="0" xfId="0" applyNumberFormat="1" applyFont="1"/>
    <xf numFmtId="0" fontId="17" fillId="3" borderId="1" xfId="0" applyFont="1" applyFill="1" applyBorder="1" applyAlignment="1">
      <alignment horizontal="center" vertical="center" wrapText="1" shrinkToFit="1"/>
    </xf>
    <xf numFmtId="1" fontId="10" fillId="3" borderId="5" xfId="18" applyNumberFormat="1" applyFont="1" applyFill="1" applyBorder="1" applyAlignment="1">
      <alignment horizontal="center" vertical="center" wrapText="1" shrinkToFit="1"/>
    </xf>
    <xf numFmtId="0" fontId="17" fillId="5" borderId="1" xfId="0" applyFont="1" applyFill="1" applyBorder="1" applyAlignment="1">
      <alignment horizontal="left"/>
    </xf>
    <xf numFmtId="3" fontId="17" fillId="5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49" fontId="10" fillId="0" borderId="1" xfId="0" applyNumberFormat="1" applyFont="1" applyBorder="1" applyAlignment="1">
      <alignment horizontal="left"/>
    </xf>
    <xf numFmtId="0" fontId="10" fillId="0" borderId="0" xfId="0" applyFont="1" applyAlignment="1">
      <alignment horizontal="right"/>
    </xf>
    <xf numFmtId="3" fontId="17" fillId="0" borderId="0" xfId="0" applyNumberFormat="1" applyFont="1"/>
    <xf numFmtId="0" fontId="17" fillId="0" borderId="6" xfId="0" applyFont="1" applyBorder="1" applyAlignment="1">
      <alignment horizontal="center"/>
    </xf>
    <xf numFmtId="0" fontId="23" fillId="0" borderId="1" xfId="0" applyFont="1" applyBorder="1" applyAlignment="1">
      <alignment horizontal="justify" vertical="top" wrapText="1"/>
    </xf>
    <xf numFmtId="3" fontId="10" fillId="0" borderId="1" xfId="0" applyNumberFormat="1" applyFont="1" applyBorder="1" applyAlignment="1">
      <alignment horizontal="right"/>
    </xf>
    <xf numFmtId="3" fontId="23" fillId="0" borderId="1" xfId="0" applyNumberFormat="1" applyFont="1" applyFill="1" applyBorder="1" applyAlignment="1">
      <alignment horizontal="right" vertical="top" wrapText="1"/>
    </xf>
    <xf numFmtId="3" fontId="23" fillId="0" borderId="1" xfId="0" applyNumberFormat="1" applyFont="1" applyBorder="1" applyAlignment="1">
      <alignment horizontal="right" vertical="top" wrapText="1"/>
    </xf>
    <xf numFmtId="176" fontId="23" fillId="0" borderId="1" xfId="0" applyNumberFormat="1" applyFont="1" applyBorder="1" applyAlignment="1">
      <alignment horizontal="right" vertical="top" wrapText="1"/>
    </xf>
    <xf numFmtId="0" fontId="24" fillId="0" borderId="1" xfId="0" applyFont="1" applyBorder="1" applyAlignment="1">
      <alignment horizontal="justify" vertical="top" wrapText="1"/>
    </xf>
    <xf numFmtId="9" fontId="24" fillId="0" borderId="1" xfId="0" applyNumberFormat="1" applyFont="1" applyBorder="1" applyAlignment="1">
      <alignment horizontal="right" vertical="top" wrapText="1"/>
    </xf>
    <xf numFmtId="9" fontId="23" fillId="0" borderId="1" xfId="0" applyNumberFormat="1" applyFont="1" applyBorder="1" applyAlignment="1">
      <alignment horizontal="right" vertical="top" wrapText="1"/>
    </xf>
    <xf numFmtId="0" fontId="17" fillId="9" borderId="1" xfId="0" applyFont="1" applyFill="1" applyBorder="1"/>
    <xf numFmtId="3" fontId="17" fillId="9" borderId="1" xfId="0" applyNumberFormat="1" applyFont="1" applyFill="1" applyBorder="1"/>
    <xf numFmtId="0" fontId="10" fillId="0" borderId="1" xfId="0" applyFont="1" applyBorder="1" applyAlignment="1">
      <alignment horizontal="center" vertical="center"/>
    </xf>
    <xf numFmtId="3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0" fillId="0" borderId="1" xfId="14" applyFont="1" applyBorder="1" applyAlignment="1">
      <alignment vertical="center"/>
    </xf>
    <xf numFmtId="3" fontId="10" fillId="0" borderId="1" xfId="14" applyNumberFormat="1" applyFont="1" applyFill="1" applyBorder="1" applyAlignment="1">
      <alignment horizontal="right" vertical="center"/>
    </xf>
    <xf numFmtId="0" fontId="17" fillId="0" borderId="1" xfId="14" applyFont="1" applyBorder="1" applyAlignment="1">
      <alignment vertical="center"/>
    </xf>
    <xf numFmtId="3" fontId="17" fillId="0" borderId="1" xfId="14" applyNumberFormat="1" applyFont="1" applyFill="1" applyBorder="1" applyAlignment="1">
      <alignment horizontal="right" vertical="center"/>
    </xf>
    <xf numFmtId="0" fontId="17" fillId="9" borderId="2" xfId="15" applyFont="1" applyFill="1" applyBorder="1" applyAlignment="1">
      <alignment vertical="center"/>
    </xf>
    <xf numFmtId="3" fontId="17" fillId="9" borderId="1" xfId="15" applyNumberFormat="1" applyFont="1" applyFill="1" applyBorder="1" applyAlignment="1">
      <alignment horizontal="center" vertical="center"/>
    </xf>
    <xf numFmtId="9" fontId="10" fillId="0" borderId="1" xfId="14" applyNumberFormat="1" applyFont="1" applyFill="1" applyBorder="1" applyAlignment="1">
      <alignment horizontal="right" vertical="center"/>
    </xf>
    <xf numFmtId="9" fontId="17" fillId="0" borderId="1" xfId="14" applyNumberFormat="1" applyFont="1" applyFill="1" applyBorder="1" applyAlignment="1">
      <alignment horizontal="right" vertical="center"/>
    </xf>
    <xf numFmtId="49" fontId="10" fillId="0" borderId="1" xfId="14" applyNumberFormat="1" applyFont="1" applyFill="1" applyBorder="1" applyAlignment="1">
      <alignment horizontal="right" vertical="center"/>
    </xf>
    <xf numFmtId="0" fontId="10" fillId="7" borderId="0" xfId="14" applyFont="1" applyFill="1"/>
    <xf numFmtId="169" fontId="10" fillId="0" borderId="1" xfId="14" applyNumberFormat="1" applyFont="1" applyFill="1" applyBorder="1" applyAlignment="1">
      <alignment horizontal="right" vertical="center"/>
    </xf>
    <xf numFmtId="0" fontId="17" fillId="0" borderId="0" xfId="14" applyFont="1" applyAlignment="1">
      <alignment vertical="center"/>
    </xf>
    <xf numFmtId="3" fontId="17" fillId="9" borderId="1" xfId="15" applyNumberFormat="1" applyFont="1" applyFill="1" applyBorder="1" applyAlignment="1">
      <alignment horizontal="center" vertical="center"/>
    </xf>
    <xf numFmtId="0" fontId="10" fillId="0" borderId="1" xfId="14" applyFont="1" applyBorder="1" applyAlignment="1">
      <alignment vertical="center" wrapText="1"/>
    </xf>
    <xf numFmtId="9" fontId="10" fillId="9" borderId="1" xfId="14" applyNumberFormat="1" applyFont="1" applyFill="1" applyBorder="1" applyAlignment="1">
      <alignment horizontal="right" vertical="center"/>
    </xf>
    <xf numFmtId="3" fontId="10" fillId="9" borderId="1" xfId="14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center"/>
    </xf>
    <xf numFmtId="168" fontId="10" fillId="0" borderId="1" xfId="14" applyNumberFormat="1" applyFont="1" applyFill="1" applyBorder="1" applyAlignment="1">
      <alignment horizontal="right" vertical="center"/>
    </xf>
    <xf numFmtId="0" fontId="17" fillId="3" borderId="1" xfId="0" applyFont="1" applyFill="1" applyBorder="1" applyAlignment="1">
      <alignment vertical="center"/>
    </xf>
    <xf numFmtId="0" fontId="17" fillId="9" borderId="1" xfId="0" applyFont="1" applyFill="1" applyBorder="1" applyAlignment="1">
      <alignment horizontal="center"/>
    </xf>
    <xf numFmtId="169" fontId="10" fillId="7" borderId="1" xfId="0" applyNumberFormat="1" applyFont="1" applyFill="1" applyBorder="1"/>
    <xf numFmtId="49" fontId="10" fillId="0" borderId="1" xfId="0" applyNumberFormat="1" applyFont="1" applyBorder="1" applyAlignment="1">
      <alignment horizontal="left" wrapText="1"/>
    </xf>
    <xf numFmtId="3" fontId="10" fillId="7" borderId="1" xfId="0" applyNumberFormat="1" applyFont="1" applyFill="1" applyBorder="1" applyAlignment="1">
      <alignment horizontal="center"/>
    </xf>
    <xf numFmtId="9" fontId="10" fillId="7" borderId="1" xfId="0" applyNumberFormat="1" applyFont="1" applyFill="1" applyBorder="1"/>
    <xf numFmtId="0" fontId="25" fillId="0" borderId="0" xfId="0" applyFont="1"/>
    <xf numFmtId="165" fontId="10" fillId="2" borderId="1" xfId="0" applyNumberFormat="1" applyFont="1" applyFill="1" applyBorder="1"/>
    <xf numFmtId="0" fontId="17" fillId="5" borderId="4" xfId="0" applyFont="1" applyFill="1" applyBorder="1"/>
    <xf numFmtId="0" fontId="17" fillId="5" borderId="4" xfId="0" applyFont="1" applyFill="1" applyBorder="1" applyAlignment="1">
      <alignment horizontal="center"/>
    </xf>
    <xf numFmtId="3" fontId="17" fillId="5" borderId="4" xfId="0" applyNumberFormat="1" applyFont="1" applyFill="1" applyBorder="1" applyAlignment="1">
      <alignment horizontal="center" wrapText="1" shrinkToFit="1"/>
    </xf>
    <xf numFmtId="3" fontId="17" fillId="5" borderId="4" xfId="0" applyNumberFormat="1" applyFont="1" applyFill="1" applyBorder="1"/>
    <xf numFmtId="0" fontId="10" fillId="0" borderId="7" xfId="0" applyFont="1" applyBorder="1"/>
    <xf numFmtId="0" fontId="10" fillId="0" borderId="8" xfId="0" applyFont="1" applyFill="1" applyBorder="1" applyAlignment="1">
      <alignment horizontal="center"/>
    </xf>
    <xf numFmtId="3" fontId="10" fillId="0" borderId="8" xfId="0" applyNumberFormat="1" applyFont="1" applyFill="1" applyBorder="1"/>
    <xf numFmtId="169" fontId="10" fillId="0" borderId="8" xfId="0" applyNumberFormat="1" applyFont="1" applyFill="1" applyBorder="1"/>
    <xf numFmtId="3" fontId="10" fillId="10" borderId="8" xfId="0" applyNumberFormat="1" applyFont="1" applyFill="1" applyBorder="1"/>
    <xf numFmtId="3" fontId="10" fillId="0" borderId="8" xfId="0" applyNumberFormat="1" applyFont="1" applyBorder="1"/>
    <xf numFmtId="3" fontId="10" fillId="0" borderId="9" xfId="0" applyNumberFormat="1" applyFont="1" applyBorder="1"/>
    <xf numFmtId="0" fontId="10" fillId="0" borderId="10" xfId="0" applyFont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165" fontId="10" fillId="0" borderId="1" xfId="0" applyNumberFormat="1" applyFont="1" applyFill="1" applyBorder="1"/>
    <xf numFmtId="3" fontId="10" fillId="11" borderId="1" xfId="0" applyNumberFormat="1" applyFont="1" applyFill="1" applyBorder="1"/>
    <xf numFmtId="3" fontId="10" fillId="7" borderId="11" xfId="0" applyNumberFormat="1" applyFont="1" applyFill="1" applyBorder="1"/>
    <xf numFmtId="3" fontId="10" fillId="0" borderId="11" xfId="0" applyNumberFormat="1" applyFont="1" applyFill="1" applyBorder="1"/>
    <xf numFmtId="0" fontId="10" fillId="0" borderId="10" xfId="0" applyFont="1" applyBorder="1"/>
    <xf numFmtId="0" fontId="10" fillId="0" borderId="12" xfId="0" applyFont="1" applyBorder="1"/>
    <xf numFmtId="0" fontId="10" fillId="0" borderId="13" xfId="0" applyFont="1" applyFill="1" applyBorder="1" applyAlignment="1">
      <alignment horizontal="center"/>
    </xf>
    <xf numFmtId="3" fontId="10" fillId="0" borderId="13" xfId="0" applyNumberFormat="1" applyFont="1" applyFill="1" applyBorder="1"/>
    <xf numFmtId="3" fontId="10" fillId="0" borderId="14" xfId="0" applyNumberFormat="1" applyFont="1" applyFill="1" applyBorder="1"/>
    <xf numFmtId="0" fontId="10" fillId="12" borderId="15" xfId="0" applyFont="1" applyFill="1" applyBorder="1"/>
    <xf numFmtId="0" fontId="10" fillId="12" borderId="15" xfId="0" applyFont="1" applyFill="1" applyBorder="1" applyAlignment="1">
      <alignment horizontal="center"/>
    </xf>
    <xf numFmtId="3" fontId="10" fillId="12" borderId="15" xfId="0" applyNumberFormat="1" applyFont="1" applyFill="1" applyBorder="1"/>
    <xf numFmtId="165" fontId="10" fillId="12" borderId="15" xfId="0" applyNumberFormat="1" applyFont="1" applyFill="1" applyBorder="1"/>
    <xf numFmtId="3" fontId="10" fillId="12" borderId="16" xfId="0" applyNumberFormat="1" applyFont="1" applyFill="1" applyBorder="1"/>
    <xf numFmtId="165" fontId="10" fillId="0" borderId="13" xfId="0" applyNumberFormat="1" applyFont="1" applyFill="1" applyBorder="1"/>
    <xf numFmtId="3" fontId="10" fillId="11" borderId="11" xfId="0" applyNumberFormat="1" applyFont="1" applyFill="1" applyBorder="1"/>
    <xf numFmtId="3" fontId="10" fillId="0" borderId="11" xfId="0" applyNumberFormat="1" applyFont="1" applyBorder="1"/>
    <xf numFmtId="0" fontId="10" fillId="0" borderId="17" xfId="0" applyFont="1" applyBorder="1"/>
    <xf numFmtId="0" fontId="10" fillId="0" borderId="15" xfId="0" applyFont="1" applyFill="1" applyBorder="1" applyAlignment="1">
      <alignment horizontal="center"/>
    </xf>
    <xf numFmtId="3" fontId="10" fillId="0" borderId="15" xfId="0" applyNumberFormat="1" applyFont="1" applyFill="1" applyBorder="1"/>
    <xf numFmtId="3" fontId="10" fillId="0" borderId="16" xfId="0" applyNumberFormat="1" applyFont="1" applyFill="1" applyBorder="1"/>
    <xf numFmtId="165" fontId="10" fillId="0" borderId="8" xfId="0" applyNumberFormat="1" applyFont="1" applyFill="1" applyBorder="1"/>
    <xf numFmtId="3" fontId="10" fillId="0" borderId="9" xfId="0" applyNumberFormat="1" applyFont="1" applyFill="1" applyBorder="1"/>
    <xf numFmtId="0" fontId="10" fillId="0" borderId="5" xfId="0" applyFont="1" applyBorder="1"/>
    <xf numFmtId="0" fontId="10" fillId="0" borderId="5" xfId="0" applyFont="1" applyBorder="1" applyAlignment="1">
      <alignment horizontal="center"/>
    </xf>
    <xf numFmtId="3" fontId="10" fillId="0" borderId="5" xfId="0" applyNumberFormat="1" applyFont="1" applyBorder="1"/>
    <xf numFmtId="0" fontId="10" fillId="0" borderId="0" xfId="0" quotePrefix="1" applyFont="1"/>
    <xf numFmtId="169" fontId="10" fillId="0" borderId="1" xfId="0" applyNumberFormat="1" applyFont="1" applyFill="1" applyBorder="1"/>
    <xf numFmtId="3" fontId="10" fillId="0" borderId="1" xfId="0" applyNumberFormat="1" applyFont="1" applyBorder="1" applyAlignment="1">
      <alignment horizontal="center"/>
    </xf>
    <xf numFmtId="169" fontId="10" fillId="7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10" fillId="0" borderId="18" xfId="0" applyFont="1" applyBorder="1"/>
    <xf numFmtId="0" fontId="10" fillId="0" borderId="4" xfId="0" applyFont="1" applyFill="1" applyBorder="1" applyAlignment="1">
      <alignment horizontal="center"/>
    </xf>
    <xf numFmtId="3" fontId="10" fillId="0" borderId="4" xfId="0" applyNumberFormat="1" applyFont="1" applyFill="1" applyBorder="1"/>
    <xf numFmtId="165" fontId="10" fillId="0" borderId="4" xfId="0" applyNumberFormat="1" applyFont="1" applyFill="1" applyBorder="1"/>
    <xf numFmtId="0" fontId="10" fillId="12" borderId="7" xfId="0" applyFont="1" applyFill="1" applyBorder="1"/>
    <xf numFmtId="0" fontId="10" fillId="12" borderId="8" xfId="0" applyFont="1" applyFill="1" applyBorder="1" applyAlignment="1">
      <alignment horizontal="center"/>
    </xf>
    <xf numFmtId="3" fontId="10" fillId="12" borderId="8" xfId="0" applyNumberFormat="1" applyFont="1" applyFill="1" applyBorder="1"/>
    <xf numFmtId="165" fontId="10" fillId="12" borderId="8" xfId="0" applyNumberFormat="1" applyFont="1" applyFill="1" applyBorder="1"/>
    <xf numFmtId="3" fontId="10" fillId="12" borderId="9" xfId="0" applyNumberFormat="1" applyFont="1" applyFill="1" applyBorder="1"/>
    <xf numFmtId="0" fontId="10" fillId="12" borderId="12" xfId="0" applyFont="1" applyFill="1" applyBorder="1"/>
    <xf numFmtId="0" fontId="10" fillId="12" borderId="13" xfId="0" applyFont="1" applyFill="1" applyBorder="1" applyAlignment="1">
      <alignment horizontal="center"/>
    </xf>
    <xf numFmtId="3" fontId="10" fillId="12" borderId="13" xfId="0" applyNumberFormat="1" applyFont="1" applyFill="1" applyBorder="1"/>
    <xf numFmtId="165" fontId="10" fillId="12" borderId="13" xfId="0" applyNumberFormat="1" applyFont="1" applyFill="1" applyBorder="1"/>
    <xf numFmtId="3" fontId="10" fillId="12" borderId="14" xfId="0" applyNumberFormat="1" applyFont="1" applyFill="1" applyBorder="1"/>
    <xf numFmtId="0" fontId="17" fillId="9" borderId="1" xfId="0" applyFont="1" applyFill="1" applyBorder="1" applyAlignment="1">
      <alignment horizontal="left" vertical="center"/>
    </xf>
    <xf numFmtId="3" fontId="17" fillId="9" borderId="1" xfId="0" applyNumberFormat="1" applyFont="1" applyFill="1" applyBorder="1" applyAlignment="1">
      <alignment horizontal="center" vertical="center" wrapText="1" shrinkToFit="1"/>
    </xf>
    <xf numFmtId="0" fontId="17" fillId="0" borderId="1" xfId="0" applyFont="1" applyBorder="1" applyAlignment="1">
      <alignment horizontal="center"/>
    </xf>
    <xf numFmtId="0" fontId="17" fillId="9" borderId="1" xfId="0" applyFont="1" applyFill="1" applyBorder="1" applyAlignment="1">
      <alignment vertical="center"/>
    </xf>
    <xf numFmtId="0" fontId="17" fillId="9" borderId="1" xfId="0" applyFont="1" applyFill="1" applyBorder="1" applyAlignment="1">
      <alignment horizontal="center" vertical="center"/>
    </xf>
    <xf numFmtId="3" fontId="17" fillId="9" borderId="1" xfId="0" applyNumberFormat="1" applyFont="1" applyFill="1" applyBorder="1" applyAlignment="1">
      <alignment horizontal="center"/>
    </xf>
    <xf numFmtId="3" fontId="17" fillId="9" borderId="1" xfId="0" applyNumberFormat="1" applyFont="1" applyFill="1" applyBorder="1" applyAlignment="1">
      <alignment horizontal="center" wrapText="1" shrinkToFit="1"/>
    </xf>
    <xf numFmtId="3" fontId="17" fillId="0" borderId="1" xfId="0" applyNumberFormat="1" applyFont="1" applyFill="1" applyBorder="1"/>
    <xf numFmtId="165" fontId="17" fillId="0" borderId="1" xfId="0" applyNumberFormat="1" applyFont="1" applyFill="1" applyBorder="1"/>
    <xf numFmtId="0" fontId="17" fillId="0" borderId="1" xfId="0" applyFont="1" applyFill="1" applyBorder="1" applyAlignment="1">
      <alignment horizontal="left" vertical="center"/>
    </xf>
    <xf numFmtId="3" fontId="17" fillId="0" borderId="1" xfId="0" applyNumberFormat="1" applyFont="1" applyFill="1" applyBorder="1" applyAlignment="1">
      <alignment horizontal="center" vertical="center" wrapText="1" shrinkToFit="1"/>
    </xf>
    <xf numFmtId="175" fontId="17" fillId="0" borderId="1" xfId="0" applyNumberFormat="1" applyFont="1" applyFill="1" applyBorder="1"/>
    <xf numFmtId="3" fontId="10" fillId="7" borderId="1" xfId="0" applyNumberFormat="1" applyFont="1" applyFill="1" applyBorder="1" applyAlignment="1">
      <alignment horizontal="right"/>
    </xf>
    <xf numFmtId="3" fontId="17" fillId="9" borderId="1" xfId="0" applyNumberFormat="1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vertical="center"/>
    </xf>
    <xf numFmtId="0" fontId="10" fillId="9" borderId="1" xfId="0" applyFont="1" applyFill="1" applyBorder="1" applyAlignment="1">
      <alignment horizontal="center" vertical="center" wrapText="1"/>
    </xf>
    <xf numFmtId="3" fontId="29" fillId="0" borderId="0" xfId="0" applyNumberFormat="1" applyFont="1"/>
    <xf numFmtId="0" fontId="18" fillId="0" borderId="0" xfId="0" applyFont="1" applyAlignment="1">
      <alignment horizontal="center"/>
    </xf>
    <xf numFmtId="3" fontId="14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right"/>
    </xf>
    <xf numFmtId="3" fontId="10" fillId="0" borderId="1" xfId="0" applyNumberFormat="1" applyFont="1" applyFill="1" applyBorder="1" applyAlignment="1">
      <alignment vertical="center"/>
    </xf>
    <xf numFmtId="4" fontId="10" fillId="7" borderId="1" xfId="0" applyNumberFormat="1" applyFont="1" applyFill="1" applyBorder="1"/>
    <xf numFmtId="0" fontId="10" fillId="0" borderId="0" xfId="0" applyFont="1" applyAlignment="1">
      <alignment vertical="center"/>
    </xf>
    <xf numFmtId="169" fontId="10" fillId="0" borderId="4" xfId="0" applyNumberFormat="1" applyFont="1" applyBorder="1"/>
    <xf numFmtId="169" fontId="10" fillId="0" borderId="15" xfId="0" applyNumberFormat="1" applyFont="1" applyBorder="1"/>
    <xf numFmtId="169" fontId="10" fillId="0" borderId="5" xfId="0" applyNumberFormat="1" applyFont="1" applyBorder="1"/>
    <xf numFmtId="0" fontId="10" fillId="0" borderId="19" xfId="0" applyFont="1" applyBorder="1"/>
    <xf numFmtId="0" fontId="10" fillId="0" borderId="3" xfId="0" applyFont="1" applyBorder="1"/>
    <xf numFmtId="0" fontId="10" fillId="10" borderId="0" xfId="0" applyFont="1" applyFill="1"/>
    <xf numFmtId="3" fontId="10" fillId="7" borderId="1" xfId="0" applyNumberFormat="1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horizontal="right"/>
    </xf>
    <xf numFmtId="0" fontId="30" fillId="0" borderId="0" xfId="30" applyAlignment="1" applyProtection="1">
      <alignment vertical="center"/>
    </xf>
    <xf numFmtId="0" fontId="17" fillId="9" borderId="1" xfId="14" applyFont="1" applyFill="1" applyBorder="1" applyAlignment="1">
      <alignment vertical="center"/>
    </xf>
    <xf numFmtId="3" fontId="17" fillId="9" borderId="1" xfId="14" applyNumberFormat="1" applyFont="1" applyFill="1" applyBorder="1" applyAlignment="1">
      <alignment horizontal="right" vertical="center"/>
    </xf>
    <xf numFmtId="0" fontId="10" fillId="0" borderId="0" xfId="0" applyFont="1" applyAlignment="1">
      <alignment wrapText="1"/>
    </xf>
    <xf numFmtId="3" fontId="29" fillId="0" borderId="0" xfId="18" applyNumberFormat="1" applyFont="1" applyFill="1" applyBorder="1" applyAlignment="1">
      <alignment wrapText="1" shrinkToFit="1"/>
    </xf>
    <xf numFmtId="0" fontId="17" fillId="0" borderId="4" xfId="18" applyFont="1" applyFill="1" applyBorder="1" applyAlignment="1">
      <alignment horizontal="center" vertical="center" wrapText="1"/>
    </xf>
    <xf numFmtId="0" fontId="17" fillId="0" borderId="5" xfId="18" applyFont="1" applyFill="1" applyBorder="1" applyAlignment="1">
      <alignment horizontal="center" vertical="center" wrapText="1"/>
    </xf>
    <xf numFmtId="0" fontId="17" fillId="0" borderId="1" xfId="18" applyFont="1" applyFill="1" applyBorder="1" applyAlignment="1">
      <alignment horizontal="center" vertical="center" wrapText="1"/>
    </xf>
    <xf numFmtId="164" fontId="17" fillId="3" borderId="19" xfId="18" applyNumberFormat="1" applyFont="1" applyFill="1" applyBorder="1" applyAlignment="1">
      <alignment horizontal="center" vertical="center"/>
    </xf>
    <xf numFmtId="0" fontId="17" fillId="3" borderId="19" xfId="18" applyFont="1" applyFill="1" applyBorder="1" applyAlignment="1">
      <alignment horizontal="center" vertical="center"/>
    </xf>
    <xf numFmtId="0" fontId="17" fillId="3" borderId="3" xfId="18" applyFont="1" applyFill="1" applyBorder="1" applyAlignment="1">
      <alignment horizontal="center" vertical="center"/>
    </xf>
    <xf numFmtId="164" fontId="17" fillId="3" borderId="1" xfId="18" applyNumberFormat="1" applyFont="1" applyFill="1" applyBorder="1" applyAlignment="1">
      <alignment horizontal="center" vertical="center" wrapText="1" shrinkToFit="1"/>
    </xf>
    <xf numFmtId="0" fontId="17" fillId="3" borderId="20" xfId="18" applyFont="1" applyFill="1" applyBorder="1" applyAlignment="1">
      <alignment horizontal="center" vertical="center" wrapText="1" shrinkToFit="1"/>
    </xf>
    <xf numFmtId="0" fontId="17" fillId="3" borderId="21" xfId="18" applyFont="1" applyFill="1" applyBorder="1" applyAlignment="1">
      <alignment horizontal="center" vertical="center" wrapText="1" shrinkToFit="1"/>
    </xf>
    <xf numFmtId="0" fontId="17" fillId="3" borderId="4" xfId="18" applyFont="1" applyFill="1" applyBorder="1" applyAlignment="1">
      <alignment horizontal="center" vertical="center" wrapText="1" shrinkToFit="1"/>
    </xf>
    <xf numFmtId="0" fontId="17" fillId="3" borderId="5" xfId="18" applyFont="1" applyFill="1" applyBorder="1" applyAlignment="1">
      <alignment horizontal="center" vertical="center" wrapText="1" shrinkToFit="1"/>
    </xf>
    <xf numFmtId="0" fontId="17" fillId="3" borderId="1" xfId="18" applyFont="1" applyFill="1" applyBorder="1" applyAlignment="1">
      <alignment horizontal="center" vertical="center" wrapText="1" shrinkToFit="1"/>
    </xf>
    <xf numFmtId="0" fontId="17" fillId="3" borderId="4" xfId="18" applyFont="1" applyFill="1" applyBorder="1" applyAlignment="1">
      <alignment horizontal="center" vertical="center"/>
    </xf>
    <xf numFmtId="0" fontId="17" fillId="3" borderId="5" xfId="18" applyFont="1" applyFill="1" applyBorder="1" applyAlignment="1">
      <alignment horizontal="center" vertical="center"/>
    </xf>
    <xf numFmtId="0" fontId="17" fillId="3" borderId="20" xfId="19" applyFont="1" applyFill="1" applyBorder="1" applyAlignment="1">
      <alignment horizontal="center" vertical="center" wrapText="1" shrinkToFit="1"/>
    </xf>
    <xf numFmtId="0" fontId="17" fillId="3" borderId="21" xfId="19" applyFont="1" applyFill="1" applyBorder="1" applyAlignment="1">
      <alignment horizontal="center" vertical="center" wrapText="1" shrinkToFit="1"/>
    </xf>
    <xf numFmtId="0" fontId="17" fillId="3" borderId="1" xfId="19" applyFont="1" applyFill="1" applyBorder="1" applyAlignment="1">
      <alignment horizontal="center" vertical="center"/>
    </xf>
    <xf numFmtId="164" fontId="17" fillId="3" borderId="1" xfId="19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1" xfId="19" applyFont="1" applyFill="1" applyBorder="1" applyAlignment="1">
      <alignment horizontal="center" vertical="center" wrapText="1"/>
    </xf>
    <xf numFmtId="164" fontId="17" fillId="3" borderId="2" xfId="18" applyNumberFormat="1" applyFont="1" applyFill="1" applyBorder="1" applyAlignment="1">
      <alignment horizontal="center" vertical="center" wrapText="1" shrinkToFit="1"/>
    </xf>
    <xf numFmtId="164" fontId="17" fillId="3" borderId="19" xfId="18" applyNumberFormat="1" applyFont="1" applyFill="1" applyBorder="1" applyAlignment="1">
      <alignment horizontal="center" vertical="center" wrapText="1" shrinkToFit="1"/>
    </xf>
    <xf numFmtId="164" fontId="17" fillId="3" borderId="3" xfId="18" applyNumberFormat="1" applyFont="1" applyFill="1" applyBorder="1" applyAlignment="1">
      <alignment horizontal="center" vertical="center" wrapText="1" shrinkToFit="1"/>
    </xf>
    <xf numFmtId="0" fontId="17" fillId="9" borderId="4" xfId="15" applyFont="1" applyFill="1" applyBorder="1" applyAlignment="1">
      <alignment horizontal="left" vertical="center"/>
    </xf>
    <xf numFmtId="0" fontId="17" fillId="9" borderId="5" xfId="15" applyFont="1" applyFill="1" applyBorder="1" applyAlignment="1">
      <alignment horizontal="left" vertical="center"/>
    </xf>
    <xf numFmtId="3" fontId="17" fillId="9" borderId="1" xfId="15" applyNumberFormat="1" applyFont="1" applyFill="1" applyBorder="1" applyAlignment="1">
      <alignment horizontal="center" vertical="center"/>
    </xf>
    <xf numFmtId="3" fontId="10" fillId="0" borderId="1" xfId="14" applyNumberFormat="1" applyFont="1" applyFill="1" applyBorder="1" applyAlignment="1">
      <alignment horizontal="center" vertical="center"/>
    </xf>
  </cellXfs>
  <cellStyles count="31">
    <cellStyle name="_Бюджет_2007_3_22,12,06 вар.после набл.совета" xfId="1"/>
    <cellStyle name="Euro" xfId="2"/>
    <cellStyle name="Flag" xfId="3"/>
    <cellStyle name="Milliers [0]_JULY97" xfId="4"/>
    <cellStyle name="Milliers_JULY97" xfId="5"/>
    <cellStyle name="Monétaire [0]_JULY97" xfId="6"/>
    <cellStyle name="Monétaire_JULY97" xfId="7"/>
    <cellStyle name="Normal_Assump." xfId="8"/>
    <cellStyle name="Option" xfId="9"/>
    <cellStyle name="Price" xfId="10"/>
    <cellStyle name="Unit" xfId="11"/>
    <cellStyle name="Гиперссылка" xfId="30" builtinId="8"/>
    <cellStyle name="Обычный" xfId="0" builtinId="0"/>
    <cellStyle name="Обычный_Алтын-ОрдаНовыйБП" xfId="12"/>
    <cellStyle name="Обычный_Алтын-ОрдаНовыйБП 2" xfId="13"/>
    <cellStyle name="Обычный_БП кир завод 3.3  (40 млн. +20 забут реал на 18.07.06 для АФ увел курс)" xfId="14"/>
    <cellStyle name="Обычный_Копия cityrus4-18 лет СМР 52 млн $" xfId="15"/>
    <cellStyle name="Обычный_НовыйМир" xfId="16"/>
    <cellStyle name="Обычный_ПереченьКЗ" xfId="17"/>
    <cellStyle name="Обычный_Формы отчетов" xfId="18"/>
    <cellStyle name="Обычный_Формы отчетов 2" xfId="19"/>
    <cellStyle name="Процентный" xfId="20" builtinId="5"/>
    <cellStyle name="Процентный 2" xfId="21"/>
    <cellStyle name="Стиль 1" xfId="22"/>
    <cellStyle name="Тысячи [0]" xfId="23"/>
    <cellStyle name="Финансовый" xfId="24" builtinId="3"/>
    <cellStyle name="桁区切り [0.00]_PERSONAL" xfId="25"/>
    <cellStyle name="桁区切り_PERSONAL" xfId="26"/>
    <cellStyle name="標準_PERSONAL" xfId="27"/>
    <cellStyle name="通貨 [0.00]_PERSONAL" xfId="28"/>
    <cellStyle name="通貨_PERSONAL" xfId="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26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42" Type="http://schemas.openxmlformats.org/officeDocument/2006/relationships/externalLink" Target="externalLinks/externalLink29.xml"/><Relationship Id="rId47" Type="http://schemas.openxmlformats.org/officeDocument/2006/relationships/externalLink" Target="externalLinks/externalLink34.xml"/><Relationship Id="rId50" Type="http://schemas.openxmlformats.org/officeDocument/2006/relationships/externalLink" Target="externalLinks/externalLink37.xml"/><Relationship Id="rId55" Type="http://schemas.openxmlformats.org/officeDocument/2006/relationships/externalLink" Target="externalLinks/externalLink42.xml"/><Relationship Id="rId63" Type="http://schemas.openxmlformats.org/officeDocument/2006/relationships/externalLink" Target="externalLinks/externalLink50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externalLink" Target="externalLinks/externalLink24.xml"/><Relationship Id="rId40" Type="http://schemas.openxmlformats.org/officeDocument/2006/relationships/externalLink" Target="externalLinks/externalLink27.xml"/><Relationship Id="rId45" Type="http://schemas.openxmlformats.org/officeDocument/2006/relationships/externalLink" Target="externalLinks/externalLink32.xml"/><Relationship Id="rId53" Type="http://schemas.openxmlformats.org/officeDocument/2006/relationships/externalLink" Target="externalLinks/externalLink40.xml"/><Relationship Id="rId58" Type="http://schemas.openxmlformats.org/officeDocument/2006/relationships/externalLink" Target="externalLinks/externalLink45.xml"/><Relationship Id="rId66" Type="http://schemas.openxmlformats.org/officeDocument/2006/relationships/externalLink" Target="externalLinks/externalLink5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externalLink" Target="externalLinks/externalLink23.xml"/><Relationship Id="rId49" Type="http://schemas.openxmlformats.org/officeDocument/2006/relationships/externalLink" Target="externalLinks/externalLink36.xml"/><Relationship Id="rId57" Type="http://schemas.openxmlformats.org/officeDocument/2006/relationships/externalLink" Target="externalLinks/externalLink44.xml"/><Relationship Id="rId61" Type="http://schemas.openxmlformats.org/officeDocument/2006/relationships/externalLink" Target="externalLinks/externalLink4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4" Type="http://schemas.openxmlformats.org/officeDocument/2006/relationships/externalLink" Target="externalLinks/externalLink31.xml"/><Relationship Id="rId52" Type="http://schemas.openxmlformats.org/officeDocument/2006/relationships/externalLink" Target="externalLinks/externalLink39.xml"/><Relationship Id="rId60" Type="http://schemas.openxmlformats.org/officeDocument/2006/relationships/externalLink" Target="externalLinks/externalLink47.xml"/><Relationship Id="rId65" Type="http://schemas.openxmlformats.org/officeDocument/2006/relationships/externalLink" Target="externalLinks/externalLink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Relationship Id="rId43" Type="http://schemas.openxmlformats.org/officeDocument/2006/relationships/externalLink" Target="externalLinks/externalLink30.xml"/><Relationship Id="rId48" Type="http://schemas.openxmlformats.org/officeDocument/2006/relationships/externalLink" Target="externalLinks/externalLink35.xml"/><Relationship Id="rId56" Type="http://schemas.openxmlformats.org/officeDocument/2006/relationships/externalLink" Target="externalLinks/externalLink43.xml"/><Relationship Id="rId64" Type="http://schemas.openxmlformats.org/officeDocument/2006/relationships/externalLink" Target="externalLinks/externalLink51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externalLink" Target="externalLinks/externalLink25.xml"/><Relationship Id="rId46" Type="http://schemas.openxmlformats.org/officeDocument/2006/relationships/externalLink" Target="externalLinks/externalLink33.xml"/><Relationship Id="rId59" Type="http://schemas.openxmlformats.org/officeDocument/2006/relationships/externalLink" Target="externalLinks/externalLink46.xml"/><Relationship Id="rId67" Type="http://schemas.openxmlformats.org/officeDocument/2006/relationships/theme" Target="theme/theme1.xml"/><Relationship Id="rId20" Type="http://schemas.openxmlformats.org/officeDocument/2006/relationships/externalLink" Target="externalLinks/externalLink7.xml"/><Relationship Id="rId41" Type="http://schemas.openxmlformats.org/officeDocument/2006/relationships/externalLink" Target="externalLinks/externalLink28.xml"/><Relationship Id="rId54" Type="http://schemas.openxmlformats.org/officeDocument/2006/relationships/externalLink" Target="externalLinks/externalLink41.xml"/><Relationship Id="rId62" Type="http://schemas.openxmlformats.org/officeDocument/2006/relationships/externalLink" Target="externalLinks/externalLink49.xml"/><Relationship Id="rId7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al.Mamedov\AppData\Local\Microsoft\Windows\Temporary%20Internet%20Files\Content.Outlook\WONEYSZJ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al.Mamedov\AppData\Local\Microsoft\Windows\Temporary%20Internet%20Files\Content.Outlook\WONEYSZJ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\&#1054;&#1073;&#1097;&#1080;&#1077;%20&#1076;&#1086;&#1082;&#1091;&#1084;&#1077;&#1085;&#1090;&#1099;\Documents%20and%20Settings\k_abdrahmanov\&#1056;&#1072;&#1073;&#1086;&#1095;&#1080;&#1081;%20&#1089;&#1090;&#1086;&#1083;\&#1048;&#1085;&#1092;&#1086;%20&#1040;&#1082;&#1090;&#1086;&#1073;&#1077;\&#1085;&#1086;&#1074;&#1099;&#1081;%20&#1041;&#1055;%20%20&#1080;&#1089;&#1087;&#1088;%20&#1089;%20&#1091;&#1095;.%20&#1092;&#1080;&#1085;.%20NB%2007.02.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shpan_zh\temp\ERLAN\Zakluchenia\&#1047;&#1077;&#1088;&#1085;&#1086;&#1074;&#1072;&#1103;_&#1051;&#1050;\Proj_&#1047;&#1051;&#1050;_&#1087;&#1096;&#1077;&#1085;&#1080;&#1094;&#1072;_50%25_&#1083;&#1080;&#1079;_&#1087;&#1083;&#1072;&#109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\&#1086;&#1073;&#1097;&#1080;&#1077;%20&#1076;&#1086;&#1082;&#1091;&#1084;&#1077;&#1085;&#1090;&#1099;\&#1050;&#1091;&#1089;&#1084;&#1072;&#1085;&#1086;&#1074;%20&#1046;&#1077;&#1085;&#1080;&#1089;%20&#1050;&#1072;&#1081;&#1088;&#1073;&#1072;&#1077;&#1074;&#1080;&#1095;\&#1041;&#1055;%20&#1097;&#1077;&#1073;&#1077;&#1085;&#1100;%201.05%20&#1076;&#1083;&#1103;%20&#1041;&#1058;&#104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2;&#1051;&#1044;&#1050;%20&#1060;3+&#1060;2%20&#1073;&#1077;&#1079;%20&#1048;&#1060;&#105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6A75EE9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G_SVEC~1\LOCALS~1\Temp\bat\6A75EE9B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86;&#1089;&#1089;&#1090;&#1072;&#1085;&#1086;&#1074;&#1083;&#1077;&#1085;&#1085;&#1072;&#1103;_&#1074;&#1085;&#1077;&#1096;&#1085;&#1103;&#1103;_&#1089;&#1089;&#1099;&#1083;&#1082;&#1072;1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al.Mamedov\AppData\Local\Microsoft\Windows\Temporary%20Internet%20Files\Content.Outlook\WONEYSZJ\DOCUME~1\G_SVEC~1\LOCALS~1\Temp\bat\6A75EE9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al.Mamedov\AppData\Local\Microsoft\Windows\Temporary%20Internet%20Files\Content.Outlook\WONEYSZJ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\&#1086;&#1073;&#1097;&#1080;&#1077;%20&#1076;&#1086;&#1082;&#1091;&#1084;&#1077;&#1085;&#1090;&#1099;\&#1052;&#1086;&#1080;%20&#1076;&#1086;&#1082;&#1091;&#1084;&#1077;&#1085;&#1090;&#1099;\&#1041;%20&#1055;\&#1047;&#1072;&#1074;&#1086;&#1076;%20&#1084;&#1080;&#1085;&#1077;&#1088;&#1072;&#1083;&#1086;&#1074;&#1072;&#1090;&#1085;&#1099;&#1093;%20&#1080;&#1079;&#1076;&#1077;&#1083;&#1080;&#1081;\Proj_&#1057;&#1072;&#1088;&#1076;&#1072;&#1083;&#1072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AHMETO~1\LOCALS~1\Temp\Rar$DI00.531\&#1041;&#1102;&#1076;&#1078;&#1077;&#1090;&#1055;&#1088;&#1086;&#1076;&#1072;&#1078;&#1042;&#1085;&#1077;&#1096;&#1085;&#1080;&#1081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51;&#1044;&#1050;%20&#1060;3+&#1060;2%20&#1073;&#1077;&#1079;%20&#1048;&#1060;&#105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al.Mamedov\AppData\Local\Microsoft\Windows\Temporary%20Internet%20Files\Content.Outlook\WONEYSZJ\&#1052;&#1086;&#1080;%20&#1076;&#1086;&#1082;&#1091;&#1084;&#1077;&#1085;&#1090;&#1099;\&#1055;&#1056;&#1054;&#1045;&#1050;&#1058;&#1067;\&#1041;&#1055;%20&#1070;&#1076;&#1072;&#1096;&#1082;&#1080;&#1085;\&#1052;&#1051;&#1044;&#1050;%20&#1060;3+&#1060;2%20&#1073;&#1077;&#1079;%20&#1048;&#1060;&#105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al.Mamedov\AppData\Local\Microsoft\Windows\Temporary%20Internet%20Files\Content.Outlook\WONEYSZJ\&#1052;&#1051;&#1044;&#1050;%20&#1060;3+&#1060;2%20&#1073;&#1077;&#1079;%20&#1048;&#1060;&#105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shpan_zh\temp\ERLAN\Zakluchenia\&#1040;&#1050;&#1058;&#1048;&#1042;\Proj_&#1040;&#1050;&#1058;&#1048;&#1042;_7&#1083;&#1077;&#1090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\&#1086;&#1073;&#1097;&#1080;&#1077;%20&#1076;&#1086;&#1082;&#1091;&#1084;&#1077;&#1085;&#1090;&#1099;\WINDOWS\TEMP\Rar$DI01.712\&#1069;&#1082;&#1086;&#1090;&#1086;&#1085;%2011.03.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6;&#1072;&#1089;&#1095;&#1077;&#1090;%20&#1090;&#1077;&#1082;&#1089;&#1090;&#1080;&#1083;&#1100;_&#1089;%20&#1082;&#1086;&#1088;_01.05.1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al.Mamedov\AppData\Local\Microsoft\Windows\Temporary%20Internet%20Files\Content.Outlook\WONEYSZJ\Documents%20and%20Settings\q\&#1056;&#1072;&#1073;&#1086;&#1095;&#1080;&#1081;%20&#1089;&#1090;&#1086;&#1083;\&#1056;&#1040;&#1057;&#1063;&#1045;&#1058;&#1067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usmanov\&#1052;&#1086;&#1080;%20&#1076;&#1086;&#1082;&#1091;&#1084;&#1077;&#1085;&#1090;&#1099;\Documents%20and%20Settings\kusmanov\Desktop\&#1069;&#1082;&#1086;&#1090;&#1086;&#1085;+_&#1040;&#1082;&#1090;&#1102;&#1073;&#1080;&#1085;&#1089;&#1082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50_&#1040;&#1075;&#1088;&#1086;&#1093;&#1086;&#1083;&#1076;&#1080;&#1085;&#1075;\_&#1043;&#1086;&#1090;&#1086;&#1074;&#1099;&#1077;%20&#1074;&#1072;&#1088;&#1080;&#1072;&#1085;&#1090;&#1099;\&#1085;&#1072;%2026.08.11_&#1074;&#1077;&#1090;&#1088;&#1103;&#1082;&#1080;\&#1056;&#1072;&#1089;&#1095;&#1077;&#1090;%20&#1040;&#1055;&#1050;_26.08.11%20-%20&#1082;&#1086;&#1087;&#1080;&#1103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tes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s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50_&#1040;&#1075;&#1088;&#1086;&#1093;&#1086;&#1083;&#1076;&#1080;&#1085;&#1075;\_&#1043;&#1086;&#1090;&#1086;&#1074;&#1099;&#1077;%20&#1074;&#1072;&#1088;&#1080;&#1072;&#1085;&#1090;&#1099;\&#1085;&#1072;%2026.08.11_&#1074;&#1077;&#1090;&#1088;&#1103;&#1082;&#1080;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9_&#1055;&#1088;&#1086;&#1080;&#1079;&#1074;&#1086;&#1076;&#1089;&#1090;&#1074;&#1086;%20&#1082;&#1080;&#1089;&#1083;&#1086;&#1084;&#1086;&#1083;&#1086;&#1095;&#1085;&#1099;&#1093;%20&#1085;&#1072;&#1087;&#1080;&#1090;&#1082;&#1086;&#1074;\tes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al.Mamedov\AppData\Local\Microsoft\Windows\Temporary%20Internet%20Files\Content.Outlook\WONEYSZJ\tes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\&#1086;&#1073;&#1097;&#1080;&#1077;%20&#1076;&#1086;&#1082;&#1091;&#1084;&#1077;&#1085;&#1090;&#1099;\&#1052;&#1086;&#1080;%20&#1076;&#1086;&#1082;&#1091;&#1084;&#1077;&#1085;&#1090;&#1099;\&#1064;&#1072;&#1073;&#1083;&#1086;&#1085;&#1099;\&#1064;&#1072;&#1073;&#1083;&#1086;&#1085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I_FROL~1\LOCALS~1\Temp\bat\ENKI\&#1053;&#1077;&#1088;&#1091;&#1076;%20&#1084;&#1086;&#1080;%20&#1088;&#1072;&#1089;&#1095;&#1105;&#1090;&#109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65_&#1069;&#1083;&#1077;&#1074;&#1072;&#1090;&#1086;&#1088;&#1099;\_&#1056;&#1072;&#1089;&#1095;&#1077;&#1090;&#1099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I_FROL~1\LOCALS~1\Temp\bat\ENKI\&#1053;&#1077;&#1088;&#1091;&#1076;%20&#1084;&#1086;&#1080;%20&#1088;&#1072;&#1089;&#1095;&#1105;&#1090;&#1099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al.Mamedov\AppData\Local\Microsoft\Windows\Temporary%20Internet%20Files\Content.Outlook\WONEYSZJ\DOCUME~1\I_FROL~1\LOCALS~1\Temp\bat\ENKI\&#1053;&#1077;&#1088;&#1091;&#1076;%20&#1084;&#1086;&#1080;%20&#1088;&#1072;&#1089;&#1095;&#1105;&#1090;&#1099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15E674EE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G_SVEC~1\LOCALS~1\Temp\bat\15E674EE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al.Mamedov\AppData\Local\Microsoft\Windows\Temporary%20Internet%20Files\Content.Outlook\WONEYSZJ\DOCUME~1\G_SVEC~1\LOCALS~1\Temp\bat\15E674EE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al.Mamedov\AppData\Local\Microsoft\Windows\Temporary%20Internet%20Files\Content.Outlook\WONEYSZJ\&#1052;&#1086;&#1080;%20&#1076;&#1086;&#1082;&#1091;&#1084;&#1077;&#1085;&#1090;&#1099;\&#1055;&#1056;&#1054;&#1045;&#1050;&#1058;&#1067;\&#1041;&#1055;%20&#1070;&#1076;&#1072;&#1096;&#1082;&#1080;&#1085;\&#1070;&#1076;&#1072;&#1096;&#1082;&#1080;&#1085;%20&#1075;&#1086;&#1090;&#1086;&#1074;&#1099;&#1081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al.Mamedov\AppData\Local\Microsoft\Windows\Temporary%20Internet%20Files\Content.Outlook\WONEYSZJ\&#1052;&#1086;&#1080;%20&#1076;&#1086;&#1082;&#1091;&#1084;&#1077;&#1085;&#1090;&#1099;\&#1055;&#1056;&#1054;&#1045;&#1050;&#1058;&#1067;\&#1055;&#1088;&#1086;&#1095;&#1080;&#1077;%20&#1087;&#1088;&#1086;&#1077;&#1082;&#1090;&#1099;\&#1050;&#1072;&#1092;&#1077;\&#1058;&#1069;&#1054;%2010.09.08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6;&#1072;&#1089;&#1095;&#1077;&#1090;%20&#1087;&#1086;%20&#1084;&#1080;&#1085;&#1080;&#1084;&#1072;&#1088;&#1082;&#1077;&#1090;&#1091;%2011,5%25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\&#1086;&#1073;&#1097;&#1080;&#1077;%20&#1076;&#1086;&#1082;&#1091;&#1084;&#1077;&#1085;&#1090;&#1099;\Documents%20and%20Settings\m_anfinogenov\&#1056;&#1072;&#1073;&#1086;&#1095;&#1080;&#1081;%20&#1089;&#1090;&#1086;&#1083;\&#1047;&#1086;&#1083;&#1086;&#1090;&#1086;&#1081;%20&#1087;&#1088;&#1080;&#1080;&#1089;&#1082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al.Mamedov\AppData\Local\Microsoft\Windows\Temporary%20Internet%20Files\Content.Outlook\WONEYSZJ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al.Mamedov\AppData\Local\Microsoft\Windows\Temporary%20Internet%20Files\Content.Outlook\WONEYSZJ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L_&#1047;&#1077;&#1088;&#1085;&#1051;&#105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\&#1086;&#1073;&#1097;&#1080;&#1077;%20&#1076;&#1086;&#1082;&#1091;&#1084;&#1077;&#1085;&#1090;&#1099;\Documents%20and%20Settings\kusmanov\&#1052;&#1086;&#1080;%20&#1076;&#1086;&#1082;&#1091;&#1084;&#1077;&#1085;&#1090;&#1099;\&#1048;&#1085;&#1092;&#1086;&#1088;&#1084;\&#1041;&#1087;%20breton\&#1041;&#1087;%20bret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\&#1086;&#1073;&#1097;&#1080;&#1077;%20&#1076;&#1086;&#1082;&#1091;&#1084;&#1077;&#1085;&#1090;&#1099;\DOCUME~1\GH_KUS~1\LOCALS~1\Temp\bat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 refreshError="1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0.14000000000000001</v>
          </cell>
          <cell r="E42">
            <v>0.14000000000000001</v>
          </cell>
          <cell r="F42">
            <v>0.14000000000000001</v>
          </cell>
          <cell r="G42">
            <v>0.14000000000000001</v>
          </cell>
          <cell r="H42">
            <v>0.14000000000000001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3812038.8349514562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823002.24047796871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1170104.3400000001</v>
          </cell>
          <cell r="I20" t="str">
            <v>2,5</v>
          </cell>
          <cell r="L20">
            <v>0</v>
          </cell>
          <cell r="P20">
            <v>815434.58215568983</v>
          </cell>
          <cell r="Q20" t="str">
            <v>2,5</v>
          </cell>
          <cell r="T20">
            <v>0</v>
          </cell>
        </row>
        <row r="21">
          <cell r="C21" t="str">
            <v xml:space="preserve"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 xml:space="preserve"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1580858.6342494399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291262.13592233008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86826.347305389223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543485.02994011971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625748.50299401197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543485.02994011971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598802.39520958089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359281.43712574849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209580.83832335329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21916.167664670658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10958.083832335329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419161.67664670659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802091.11277072446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1143611.6504854369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627333.83121732634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309185.95967139659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89619.118745332336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87378.640776699031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246900.67214339061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 xml:space="preserve">Прочее оборудование </v>
          </cell>
          <cell r="H78">
            <v>0</v>
          </cell>
          <cell r="L78">
            <v>47904.191616766468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 xml:space="preserve"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 xml:space="preserve"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62733.383121732601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30246.452576549698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504107.54294249439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138909.63405526499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38922.155688622799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2195380.6387231951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26828350.045520891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26828350.045520891</v>
          </cell>
          <cell r="P240">
            <v>53230393.902544037</v>
          </cell>
          <cell r="T240">
            <v>0</v>
          </cell>
        </row>
      </sheetData>
      <sheetData sheetId="18" refreshError="1"/>
      <sheetData sheetId="19" refreshError="1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 xml:space="preserve"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0" refreshError="1"/>
      <sheetData sheetId="21" refreshError="1">
        <row r="125">
          <cell r="F125">
            <v>1252742.881713433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/>
      <sheetData sheetId="11"/>
      <sheetData sheetId="12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/>
      <sheetData sheetId="11"/>
      <sheetData sheetId="12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RR"/>
      <sheetName val="Ф3"/>
      <sheetName val="Ф2"/>
      <sheetName val="ПриобрОС"/>
      <sheetName val="Фин. пок-ли"/>
      <sheetName val="Пр-во сбыт"/>
      <sheetName val="Врем.смета"/>
      <sheetName val="Перем. затр"/>
      <sheetName val="Пост.затр"/>
      <sheetName val="Затр. на про-во"/>
      <sheetName val="штат"/>
      <sheetName val="АФ1"/>
      <sheetName val="АФ"/>
      <sheetName val="БВУ"/>
      <sheetName val="Доп"/>
      <sheetName val="Ф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7">
          <cell r="C17">
            <v>0.13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ИсхД+"/>
      <sheetName val="КапЗатр+"/>
      <sheetName val="Вып1+"/>
      <sheetName val="Капит_1"/>
      <sheetName val="Вып2"/>
      <sheetName val="Капит_2"/>
      <sheetName val="Вып3"/>
      <sheetName val="Капит_3"/>
      <sheetName val="Вып4"/>
      <sheetName val="Капит_4"/>
      <sheetName val="СвВып+"/>
      <sheetName val="Аморт"/>
      <sheetName val="ВырРеал+"/>
      <sheetName val="Зерно"/>
      <sheetName val="Зерно_1"/>
      <sheetName val="Себест+"/>
      <sheetName val="ОбКап+"/>
      <sheetName val="Нетто3!!!"/>
      <sheetName val="отчприб1"/>
      <sheetName val="РостАкт+"/>
      <sheetName val="Приб+"/>
      <sheetName val="ПотокНал+"/>
      <sheetName val="потокден1"/>
      <sheetName val="ФинПок+"/>
      <sheetName val="Налоги"/>
      <sheetName val="СтоимПр1+"/>
      <sheetName val="СтоимПр2"/>
      <sheetName val="ЗЛК_осн"/>
      <sheetName val="ЗЛК_%"/>
      <sheetName val="ЗЛК_цена"/>
      <sheetName val="Не_удалять!!!"/>
      <sheetName val="Графики"/>
      <sheetName val="ПрогБал"/>
      <sheetName val="КоэфЧувств-ти"/>
      <sheetName val="РезЧувств"/>
      <sheetName val="Залог"/>
      <sheetName val="РискЗалога"/>
      <sheetName val="РезЗал"/>
      <sheetName val="Чувств1"/>
      <sheetName val="Чувств1-1"/>
      <sheetName val="Чувств1-2"/>
      <sheetName val="Чувств2"/>
      <sheetName val="Чувств2-1"/>
      <sheetName val="Чувств2-2"/>
      <sheetName val="Чувств3"/>
      <sheetName val="Чувтсв3-1"/>
      <sheetName val="Чувств3-2"/>
      <sheetName val="Чувств4"/>
      <sheetName val="Чувств4-1"/>
      <sheetName val="Чувств4-2"/>
      <sheetName val="Чувств5"/>
      <sheetName val="IRR"/>
    </sheetNames>
    <sheetDataSet>
      <sheetData sheetId="0">
        <row r="2">
          <cell r="A2" t="str">
            <v>Проект "Передача с/х техники на лизинговой основе зернопроизводителям Акмолинской, Костанайской и Северо-Казахстанской областей.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2">
          <cell r="A2" t="str">
            <v xml:space="preserve">Наименование предприятия 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 Свод"/>
      <sheetName val="3Ф"/>
      <sheetName val="2Ф "/>
      <sheetName val="кр"/>
      <sheetName val="Гр стр"/>
      <sheetName val="Пост"/>
      <sheetName val="оборуд"/>
      <sheetName val="Перем."/>
      <sheetName val="IRR NPV"/>
      <sheetName val="Штат до ввода"/>
      <sheetName val="Штат пос ввода"/>
      <sheetName val="карьеры"/>
      <sheetName val="Налог(имущ)"/>
      <sheetName val="Осн.пока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5">
          <cell r="D5">
            <v>1052.6315789473686</v>
          </cell>
        </row>
        <row r="8">
          <cell r="D8">
            <v>907200</v>
          </cell>
        </row>
        <row r="9">
          <cell r="D9">
            <v>388800</v>
          </cell>
        </row>
        <row r="13">
          <cell r="D13">
            <v>164</v>
          </cell>
        </row>
        <row r="15">
          <cell r="D15">
            <v>1.1399999999999999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  <row r="16">
          <cell r="C16">
            <v>25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 refreshError="1">
        <row r="18">
          <cell r="C18">
            <v>121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 refreshError="1">
        <row r="18">
          <cell r="C18">
            <v>121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Ф3"/>
      <sheetName val="ф2"/>
      <sheetName val="Пр-во кумыс"/>
      <sheetName val="Пр-во шубат"/>
      <sheetName val="Расх пост"/>
      <sheetName val="кр"/>
      <sheetName val="Инв"/>
      <sheetName val="Безубыт"/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  <sheetName val="Лист1"/>
      <sheetName val="Лист2"/>
      <sheetName val="Лист3"/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  <sheetName val="Об пр-ва"/>
      <sheetName val="Осн. пара"/>
      <sheetName val="Осн пар Свод"/>
      <sheetName val="3Ф"/>
      <sheetName val="2Ф"/>
      <sheetName val="Норм"/>
      <sheetName val="Граф строит"/>
      <sheetName val="Пост Рх"/>
      <sheetName val="Глины"/>
      <sheetName val="Рас по тр-ту"/>
      <sheetName val="ЗП"/>
      <sheetName val="Амор"/>
      <sheetName val="влиян топл"/>
      <sheetName val="Себест-ть"/>
      <sheetName val="обоснование"/>
      <sheetName val="цены"/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  <sheetName val="Главн"/>
      <sheetName val="Пояснения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  <sheetName val="пост. пар."/>
      <sheetName val="ф-ма2"/>
      <sheetName val="ф-ма3 с НДС"/>
      <sheetName val="Гр стр №"/>
      <sheetName val="КП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/>
      <sheetData sheetId="1">
        <row r="7">
          <cell r="C7">
            <v>0.12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2">
          <cell r="C2">
            <v>218700</v>
          </cell>
        </row>
        <row r="18">
          <cell r="C18">
            <v>121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367.08209105484542</v>
          </cell>
        </row>
      </sheetData>
      <sheetData sheetId="31" refreshError="1">
        <row r="27">
          <cell r="D27">
            <v>1022552.6843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/>
      <sheetData sheetId="80" refreshError="1"/>
      <sheetData sheetId="81" refreshError="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>
        <row r="9">
          <cell r="C9">
            <v>26</v>
          </cell>
        </row>
      </sheetData>
      <sheetData sheetId="108" refreshError="1"/>
      <sheetData sheetId="109" refreshError="1"/>
      <sheetData sheetId="110" refreshError="1"/>
      <sheetData sheetId="11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 refreshError="1">
        <row r="18">
          <cell r="C18">
            <v>121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 refreshError="1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0.14000000000000001</v>
          </cell>
          <cell r="E42">
            <v>0.14000000000000001</v>
          </cell>
          <cell r="F42">
            <v>0.14000000000000001</v>
          </cell>
          <cell r="G42">
            <v>0.14000000000000001</v>
          </cell>
          <cell r="H42">
            <v>0.14000000000000001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3812038.8349514562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823002.24047796871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1170104.3400000001</v>
          </cell>
          <cell r="I20" t="str">
            <v>2,5</v>
          </cell>
          <cell r="L20">
            <v>0</v>
          </cell>
          <cell r="P20">
            <v>815434.58215568983</v>
          </cell>
          <cell r="Q20" t="str">
            <v>2,5</v>
          </cell>
          <cell r="T20">
            <v>0</v>
          </cell>
        </row>
        <row r="21">
          <cell r="C21" t="str">
            <v xml:space="preserve"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 xml:space="preserve"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1580858.6342494399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291262.13592233008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86826.347305389223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543485.02994011971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625748.50299401197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543485.02994011971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598802.39520958089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359281.43712574849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209580.83832335329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21916.167664670658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10958.083832335329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419161.67664670659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802091.11277072446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1143611.6504854369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627333.83121732634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309185.95967139659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89619.118745332336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87378.640776699031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246900.67214339061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 xml:space="preserve">Прочее оборудование </v>
          </cell>
          <cell r="H78">
            <v>0</v>
          </cell>
          <cell r="L78">
            <v>47904.191616766468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 xml:space="preserve"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 xml:space="preserve"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62733.383121732601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30246.452576549698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504107.54294249439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138909.63405526499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38922.155688622799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2195380.6387231951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26828350.045520891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26828350.045520891</v>
          </cell>
          <cell r="P240">
            <v>53230393.902544037</v>
          </cell>
          <cell r="T240">
            <v>0</v>
          </cell>
        </row>
      </sheetData>
      <sheetData sheetId="18" refreshError="1"/>
      <sheetData sheetId="19" refreshError="1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 xml:space="preserve"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0" refreshError="1"/>
      <sheetData sheetId="21" refreshError="1">
        <row r="125">
          <cell r="F125">
            <v>1252742.881713433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 refreshError="1">
        <row r="8">
          <cell r="C8">
            <v>4.8150000000000004</v>
          </cell>
        </row>
        <row r="13">
          <cell r="C13">
            <v>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 refreshError="1">
        <row r="8">
          <cell r="C8">
            <v>4.8150000000000004</v>
          </cell>
        </row>
        <row r="13">
          <cell r="C13">
            <v>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 refreshError="1">
        <row r="8">
          <cell r="C8">
            <v>4.8150000000000004</v>
          </cell>
        </row>
        <row r="13">
          <cell r="C13">
            <v>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_осв"/>
      <sheetName val="L-1"/>
      <sheetName val="L-2"/>
      <sheetName val="g-1"/>
      <sheetName val="Займы"/>
      <sheetName val="АО"/>
      <sheetName val="СС"/>
      <sheetName val="Стр_СС"/>
      <sheetName val="Н"/>
      <sheetName val="Дох"/>
      <sheetName val="Стр_Дох"/>
      <sheetName val="Приб"/>
      <sheetName val="Потоки"/>
      <sheetName val="NPV "/>
      <sheetName val="Анализ"/>
      <sheetName val="Чувств"/>
      <sheetName val="Коэфф"/>
      <sheetName val="Зал"/>
      <sheetName val="Графики"/>
    </sheetNames>
    <sheetDataSet>
      <sheetData sheetId="0" refreshError="1">
        <row r="16">
          <cell r="B16">
            <v>0.98932639114871457</v>
          </cell>
        </row>
      </sheetData>
      <sheetData sheetId="1" refreshError="1"/>
      <sheetData sheetId="2" refreshError="1">
        <row r="5">
          <cell r="B5">
            <v>12450000</v>
          </cell>
        </row>
        <row r="6">
          <cell r="B6">
            <v>0.1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/>
      <sheetData sheetId="11"/>
      <sheetData sheetId="12"/>
      <sheetData sheetId="13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+осв"/>
      <sheetName val="L1"/>
      <sheetName val="L2"/>
      <sheetName val="L3"/>
      <sheetName val="Займы"/>
      <sheetName val="АО"/>
      <sheetName val="Дох"/>
      <sheetName val="СС"/>
      <sheetName val="Уд_вес_СС"/>
      <sheetName val="ОАО &quot;Актив&quot;"/>
      <sheetName val="Налоги"/>
      <sheetName val="Приб"/>
      <sheetName val="Потоки"/>
      <sheetName val="NPV"/>
      <sheetName val="Анализ"/>
      <sheetName val="Чувств"/>
      <sheetName val="Графики"/>
      <sheetName val="Коэфф"/>
      <sheetName val="Обор_кап"/>
      <sheetName val="Источн"/>
      <sheetName val="Залоги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4 год"/>
      <sheetName val="График 2005 год"/>
      <sheetName val="Баланс прибылей"/>
      <sheetName val="cash-flow"/>
      <sheetName val="Форма №1"/>
      <sheetName val="Форма №2"/>
      <sheetName val="Форма №3"/>
      <sheetName val="Врем.смета"/>
      <sheetName val="Приобретение О.С."/>
      <sheetName val="Лизинг"/>
      <sheetName val="Кредит БРК"/>
      <sheetName val="Кредит СЗБ (А-Ф)"/>
      <sheetName val="Кредит доп"/>
      <sheetName val="Кредит А-Ф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0" refreshError="1"/>
      <sheetData sheetId="1" refreshError="1">
        <row r="3">
          <cell r="K3">
            <v>126620</v>
          </cell>
        </row>
        <row r="45">
          <cell r="P45">
            <v>150</v>
          </cell>
        </row>
        <row r="46">
          <cell r="P46">
            <v>919</v>
          </cell>
        </row>
        <row r="47">
          <cell r="P47">
            <v>0.15</v>
          </cell>
        </row>
        <row r="48">
          <cell r="P48">
            <v>0.16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F3">
            <v>0.87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 refreshError="1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0.14000000000000001</v>
          </cell>
          <cell r="E42">
            <v>0.14000000000000001</v>
          </cell>
          <cell r="F42">
            <v>0.14000000000000001</v>
          </cell>
          <cell r="G42">
            <v>0.14000000000000001</v>
          </cell>
          <cell r="H42">
            <v>0.14000000000000001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3812038.8349514562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823002.24047796871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1170104.3400000001</v>
          </cell>
          <cell r="I20" t="str">
            <v>2,5</v>
          </cell>
          <cell r="L20">
            <v>0</v>
          </cell>
          <cell r="P20">
            <v>815434.58215568983</v>
          </cell>
          <cell r="Q20" t="str">
            <v>2,5</v>
          </cell>
          <cell r="T20">
            <v>0</v>
          </cell>
        </row>
        <row r="21">
          <cell r="C21" t="str">
            <v xml:space="preserve"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 xml:space="preserve"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1580858.6342494399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291262.13592233008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86826.347305389223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543485.02994011971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625748.50299401197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543485.02994011971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598802.39520958089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359281.43712574849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209580.83832335329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21916.167664670658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10958.083832335329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419161.67664670659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802091.11277072446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1143611.6504854369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627333.83121732634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309185.95967139659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89619.118745332336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87378.640776699031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246900.67214339061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 xml:space="preserve">Прочее оборудование </v>
          </cell>
          <cell r="H78">
            <v>0</v>
          </cell>
          <cell r="L78">
            <v>47904.191616766468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 xml:space="preserve"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 xml:space="preserve"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62733.383121732601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30246.452576549698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504107.54294249439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138909.63405526499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38922.155688622799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2195380.6387231951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26828350.045520891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26828350.045520891</v>
          </cell>
          <cell r="P240">
            <v>53230393.902544037</v>
          </cell>
          <cell r="T240">
            <v>0</v>
          </cell>
        </row>
      </sheetData>
      <sheetData sheetId="18" refreshError="1"/>
      <sheetData sheetId="19" refreshError="1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 xml:space="preserve"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0" refreshError="1"/>
      <sheetData sheetId="21" refreshError="1">
        <row r="125">
          <cell r="F125">
            <v>1252742.881713433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Ф3"/>
      <sheetName val="ф2"/>
      <sheetName val="Баланс"/>
      <sheetName val="Доходы"/>
      <sheetName val="Себестоимость"/>
      <sheetName val="Расх пост"/>
      <sheetName val="кр"/>
      <sheetName val="Инв"/>
      <sheetName val="Безубыт"/>
      <sheetName val="Графики"/>
    </sheetNames>
    <sheetDataSet>
      <sheetData sheetId="0"/>
      <sheetData sheetId="1">
        <row r="5">
          <cell r="C5">
            <v>148</v>
          </cell>
        </row>
        <row r="8">
          <cell r="C8">
            <v>0.12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"/>
      <sheetName val="Данные,рентаб"/>
      <sheetName val="Оценка"/>
      <sheetName val="Финпоказатели"/>
      <sheetName val="ЧП"/>
      <sheetName val="IRR NPV"/>
      <sheetName val="Ф3"/>
      <sheetName val="Ф2-баланс"/>
      <sheetName val="КРЕДИТЫ"/>
      <sheetName val="произ.моя"/>
      <sheetName val="обучение мое"/>
      <sheetName val="приобретение мое"/>
      <sheetName val="капит.мое"/>
      <sheetName val="коммун.мое"/>
      <sheetName val="себестоимость моя"/>
      <sheetName val="Лист2"/>
      <sheetName val="налоги"/>
      <sheetName val="ПриобрОС"/>
      <sheetName val="Затр. на про-во"/>
      <sheetName val="Пост.затр"/>
      <sheetName val="Пр-во сбыт"/>
      <sheetName val="Перем. затр"/>
      <sheetName val="штат"/>
      <sheetName val="Врем.смета"/>
    </sheetNames>
    <sheetDataSet>
      <sheetData sheetId="0" refreshError="1"/>
      <sheetData sheetId="1">
        <row r="23">
          <cell r="C23">
            <v>121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6 год"/>
      <sheetName val="График 2007 год"/>
      <sheetName val="Баланс прибылей"/>
      <sheetName val="cash-flow"/>
      <sheetName val="Форма №1"/>
      <sheetName val="Форма №2"/>
      <sheetName val="Врем.смета"/>
      <sheetName val="Форма №3"/>
      <sheetName val="Приобретение О.С."/>
      <sheetName val="Лист1"/>
      <sheetName val="Лизинг"/>
      <sheetName val="Кредит КБ"/>
      <sheetName val="Кредит СЗБ (А-Ф)"/>
      <sheetName val="Кредит доп"/>
      <sheetName val="Кредит доп2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0" refreshError="1"/>
      <sheetData sheetId="1" refreshError="1">
        <row r="45">
          <cell r="P45">
            <v>140</v>
          </cell>
        </row>
        <row r="47">
          <cell r="P47">
            <v>0.15</v>
          </cell>
        </row>
        <row r="48">
          <cell r="P48">
            <v>0.16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3"/>
      <sheetName val="ф2"/>
      <sheetName val="ф1"/>
      <sheetName val="1 КРС"/>
      <sheetName val="2.1 Том"/>
      <sheetName val="2.2 Огур"/>
      <sheetName val="3 Сх культ"/>
      <sheetName val="4 Хран-е"/>
      <sheetName val="5 Ветр.мел."/>
      <sheetName val="Цены"/>
      <sheetName val="Пост"/>
      <sheetName val="ФОТ"/>
      <sheetName val="кр"/>
      <sheetName val="Инв"/>
      <sheetName val="Безу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Финпоки1"/>
      <sheetName val="ф3 2"/>
      <sheetName val="ф2 3"/>
      <sheetName val="Площади 4"/>
      <sheetName val="Кап.затр 5"/>
      <sheetName val="Доходы 6"/>
      <sheetName val="кредит 7"/>
      <sheetName val="Аморт 8"/>
      <sheetName val="Пост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 refreshError="1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367.08209105484542</v>
          </cell>
        </row>
      </sheetData>
      <sheetData sheetId="1" refreshError="1">
        <row r="27">
          <cell r="D27">
            <v>1022552.6843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 refreshError="1">
        <row r="42">
          <cell r="D42">
            <v>0.14000000000000001</v>
          </cell>
          <cell r="E42">
            <v>0.14000000000000001</v>
          </cell>
          <cell r="F42">
            <v>0.14000000000000001</v>
          </cell>
          <cell r="G42">
            <v>0.14000000000000001</v>
          </cell>
          <cell r="H42">
            <v>0.14000000000000001</v>
          </cell>
          <cell r="I42">
            <v>0.12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 refreshError="1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367.08209105484542</v>
          </cell>
        </row>
      </sheetData>
      <sheetData sheetId="1" refreshError="1">
        <row r="27">
          <cell r="D27">
            <v>1022552.6843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 refreshError="1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367.08209105484542</v>
          </cell>
        </row>
      </sheetData>
      <sheetData sheetId="1" refreshError="1">
        <row r="27">
          <cell r="D27">
            <v>1022552.6843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ер"/>
      <sheetName val="Пост"/>
      <sheetName val="Инв"/>
      <sheetName val="NPV"/>
      <sheetName val="График"/>
      <sheetName val="Пост."/>
    </sheetNames>
    <sheetDataSet>
      <sheetData sheetId="0" refreshError="1"/>
      <sheetData sheetId="1">
        <row r="9">
          <cell r="C9">
            <v>0.13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ОП"/>
      <sheetName val="Ф3"/>
      <sheetName val="ф2"/>
      <sheetName val="кр"/>
      <sheetName val="График"/>
      <sheetName val="пост"/>
      <sheetName val="безубыт"/>
      <sheetName val="сметы работ"/>
      <sheetName val="исх"/>
      <sheetName val="штат"/>
      <sheetName val="дох"/>
      <sheetName val="расх матер"/>
      <sheetName val="амор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ост"/>
      <sheetName val="Инв"/>
      <sheetName val="безубыт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0" refreshError="1"/>
      <sheetData sheetId="1">
        <row r="9">
          <cell r="C9">
            <v>26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0" refreshError="1"/>
      <sheetData sheetId="1">
        <row r="9">
          <cell r="C9">
            <v>26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дание"/>
      <sheetName val="NPV"/>
      <sheetName val="IRRa"/>
      <sheetName val="IRRb"/>
    </sheetNames>
    <sheetDataSet>
      <sheetData sheetId="0"/>
      <sheetData sheetId="1">
        <row r="18">
          <cell r="F18">
            <v>-1000000</v>
          </cell>
        </row>
      </sheetData>
      <sheetData sheetId="2"/>
      <sheetData sheetId="3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0" refreshError="1"/>
      <sheetData sheetId="1">
        <row r="9">
          <cell r="C9">
            <v>26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9">
          <cell r="F9">
            <v>15.920769635750389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9">
          <cell r="F9">
            <v>15.920769635750389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9">
          <cell r="F9">
            <v>15.920769635750389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Исх докум"/>
      <sheetName val="Указатель"/>
      <sheetName val="Б1"/>
      <sheetName val="О1"/>
      <sheetName val="Б2"/>
      <sheetName val="О2"/>
      <sheetName val="Б3!!!"/>
      <sheetName val="О3!!!"/>
      <sheetName val="Исх.1"/>
      <sheetName val="Исх.2"/>
      <sheetName val="Исх.3!!!"/>
      <sheetName val="Нетто1"/>
      <sheetName val="Нетто2"/>
      <sheetName val="Нетто3!!!"/>
      <sheetName val="Гориз"/>
      <sheetName val="Верт!!!"/>
      <sheetName val="К-ф!!!"/>
      <sheetName val="Активы (размещ)!!!"/>
      <sheetName val="Уровень показателей!!!"/>
      <sheetName val="Фин. ресурсы!!!"/>
      <sheetName val="Наличие об ср-в!!!"/>
      <sheetName val="Кт!!!"/>
      <sheetName val="Дин. оборотн. ср-в!!!"/>
      <sheetName val="Дт"/>
      <sheetName val="Ликв баланса!!!"/>
      <sheetName val="Самофинанс!!!"/>
      <sheetName val="Рынок сырья"/>
      <sheetName val="Вид продукции"/>
      <sheetName val="Справка_НБ"/>
      <sheetName val="Анализ"/>
      <sheetName val="Показатели"/>
      <sheetName val="Модуль2"/>
      <sheetName val="Аванс кап"/>
      <sheetName val="Текст"/>
    </sheetNames>
    <sheetDataSet>
      <sheetData sheetId="0" refreshError="1"/>
      <sheetData sheetId="1" refreshError="1"/>
      <sheetData sheetId="2" refreshError="1"/>
      <sheetData sheetId="3">
        <row r="6">
          <cell r="B6" t="str">
            <v>услуги по аренде машин оборудования без оператора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</sheetData>
      <sheetData sheetId="4" refreshError="1"/>
      <sheetData sheetId="5" refreshError="1"/>
      <sheetData sheetId="6" refreshError="1"/>
      <sheetData sheetId="7">
        <row r="58">
          <cell r="C58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8">
          <cell r="E18" t="e">
            <v>#DIV/0!</v>
          </cell>
        </row>
      </sheetData>
      <sheetData sheetId="20" refreshError="1"/>
      <sheetData sheetId="21" refreshError="1"/>
      <sheetData sheetId="22" refreshError="1"/>
      <sheetData sheetId="23">
        <row r="17">
          <cell r="B17">
            <v>0</v>
          </cell>
          <cell r="F17">
            <v>0</v>
          </cell>
        </row>
        <row r="18">
          <cell r="B18">
            <v>0</v>
          </cell>
          <cell r="F18">
            <v>26676.6</v>
          </cell>
        </row>
        <row r="19">
          <cell r="B19">
            <v>0</v>
          </cell>
          <cell r="F19">
            <v>8.1999999999999993</v>
          </cell>
        </row>
        <row r="20">
          <cell r="B20">
            <v>0</v>
          </cell>
          <cell r="F20">
            <v>0</v>
          </cell>
        </row>
        <row r="25">
          <cell r="B25">
            <v>0</v>
          </cell>
          <cell r="F25">
            <v>296249.3</v>
          </cell>
        </row>
        <row r="26">
          <cell r="B26">
            <v>0</v>
          </cell>
          <cell r="F26">
            <v>1718930</v>
          </cell>
        </row>
        <row r="27">
          <cell r="B27">
            <v>0</v>
          </cell>
          <cell r="F27">
            <v>0</v>
          </cell>
        </row>
        <row r="28">
          <cell r="B28">
            <v>0</v>
          </cell>
          <cell r="F28">
            <v>0</v>
          </cell>
        </row>
        <row r="29">
          <cell r="B29">
            <v>0</v>
          </cell>
          <cell r="F29">
            <v>11298.7</v>
          </cell>
        </row>
        <row r="30">
          <cell r="B30">
            <v>0</v>
          </cell>
          <cell r="F30">
            <v>0</v>
          </cell>
        </row>
        <row r="31">
          <cell r="B31">
            <v>0</v>
          </cell>
          <cell r="F31">
            <v>12793.8</v>
          </cell>
        </row>
        <row r="33">
          <cell r="B33">
            <v>0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Коэфф"/>
      <sheetName val="Ф2"/>
      <sheetName val="Ф3"/>
      <sheetName val="Кредит"/>
      <sheetName val="Перемен"/>
      <sheetName val="Постоян"/>
      <sheetName val="Себст"/>
      <sheetName val="Безуб"/>
      <sheetName val="Смета"/>
      <sheetName val="Инвест"/>
      <sheetName val="Штат"/>
      <sheetName val="План пр-ва"/>
      <sheetName val="Продаж"/>
      <sheetName val="Налог"/>
    </sheetNames>
    <sheetDataSet>
      <sheetData sheetId="0">
        <row r="9">
          <cell r="C9">
            <v>165</v>
          </cell>
        </row>
        <row r="11">
          <cell r="C11">
            <v>1332.5</v>
          </cell>
        </row>
      </sheetData>
      <sheetData sheetId="1"/>
      <sheetData sheetId="2"/>
      <sheetData sheetId="3" refreshError="1"/>
      <sheetData sheetId="4"/>
      <sheetData sheetId="5"/>
      <sheetData sheetId="6"/>
      <sheetData sheetId="7" refreshError="1"/>
      <sheetData sheetId="8"/>
      <sheetData sheetId="9" refreshError="1"/>
      <sheetData sheetId="10"/>
      <sheetData sheetId="11" refreshError="1"/>
      <sheetData sheetId="12">
        <row r="6">
          <cell r="A6" t="str">
            <v>Мраморно-цементная плитка Bretonterastone®</v>
          </cell>
        </row>
      </sheetData>
      <sheetData sheetId="13" refreshError="1"/>
      <sheetData sheetId="1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0" refreshError="1"/>
      <sheetData sheetId="1" refreshError="1">
        <row r="2">
          <cell r="C2">
            <v>32.173913043478265</v>
          </cell>
        </row>
        <row r="4">
          <cell r="C4">
            <v>127</v>
          </cell>
        </row>
        <row r="6">
          <cell r="C6">
            <v>5000000</v>
          </cell>
        </row>
        <row r="7">
          <cell r="C7">
            <v>60000000</v>
          </cell>
        </row>
        <row r="8">
          <cell r="C8">
            <v>161</v>
          </cell>
        </row>
        <row r="13">
          <cell r="C13">
            <v>22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holodim.ru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2" enableFormatConditionsCalculation="0">
    <tabColor rgb="FFFF0000"/>
  </sheetPr>
  <dimension ref="A1:AS143"/>
  <sheetViews>
    <sheetView showGridLines="0" showZeros="0" zoomScaleNormal="100" workbookViewId="0">
      <pane xSplit="3" ySplit="6" topLeftCell="D7" activePane="bottomRight" state="frozen"/>
      <selection activeCell="A34" sqref="A34"/>
      <selection pane="topRight" activeCell="A34" sqref="A34"/>
      <selection pane="bottomLeft" activeCell="A34" sqref="A34"/>
      <selection pane="bottomRight" activeCell="AH13" sqref="AH13"/>
    </sheetView>
  </sheetViews>
  <sheetFormatPr defaultColWidth="8.5703125" defaultRowHeight="12.75" outlineLevelRow="1" outlineLevelCol="1"/>
  <cols>
    <col min="1" max="1" width="37.28515625" style="60" customWidth="1"/>
    <col min="2" max="2" width="10.140625" style="61" customWidth="1"/>
    <col min="3" max="3" width="1.85546875" style="61" customWidth="1"/>
    <col min="4" max="6" width="7.7109375" style="6" hidden="1" customWidth="1" outlineLevel="1"/>
    <col min="7" max="7" width="8.140625" style="57" hidden="1" customWidth="1" outlineLevel="1"/>
    <col min="8" max="8" width="8.140625" style="6" hidden="1" customWidth="1" outlineLevel="1"/>
    <col min="9" max="12" width="7.7109375" style="6" hidden="1" customWidth="1" outlineLevel="1"/>
    <col min="13" max="13" width="7.85546875" style="6" hidden="1" customWidth="1" outlineLevel="1"/>
    <col min="14" max="14" width="7.28515625" style="6" hidden="1" customWidth="1" outlineLevel="1"/>
    <col min="15" max="15" width="7.5703125" style="6" hidden="1" customWidth="1" outlineLevel="1"/>
    <col min="16" max="16" width="8.28515625" style="7" customWidth="1" collapsed="1"/>
    <col min="17" max="28" width="7.5703125" style="6" hidden="1" customWidth="1" outlineLevel="1"/>
    <col min="29" max="29" width="8.7109375" style="7" customWidth="1" collapsed="1"/>
    <col min="30" max="30" width="8.5703125" style="7" customWidth="1"/>
    <col min="31" max="31" width="8.7109375" style="7" customWidth="1"/>
    <col min="32" max="32" width="8.5703125" style="7" customWidth="1"/>
    <col min="33" max="34" width="7.85546875" style="8" bestFit="1" customWidth="1"/>
    <col min="35" max="41" width="8.7109375" style="8" bestFit="1" customWidth="1"/>
    <col min="42" max="16384" width="8.5703125" style="8"/>
  </cols>
  <sheetData>
    <row r="1" spans="1:34">
      <c r="A1" s="62" t="s">
        <v>185</v>
      </c>
      <c r="B1" s="1"/>
      <c r="C1" s="1"/>
      <c r="D1" s="2"/>
      <c r="E1" s="2"/>
      <c r="F1" s="2"/>
      <c r="G1" s="3"/>
      <c r="H1" s="2"/>
      <c r="I1" s="4"/>
      <c r="J1" s="4"/>
      <c r="K1" s="4"/>
      <c r="L1" s="4"/>
      <c r="M1" s="4"/>
      <c r="N1" s="5"/>
      <c r="Q1" s="2"/>
      <c r="R1" s="2"/>
      <c r="S1" s="2"/>
      <c r="T1" s="2"/>
      <c r="U1" s="2"/>
      <c r="V1" s="4"/>
      <c r="W1" s="4"/>
      <c r="X1" s="4"/>
      <c r="Y1" s="4"/>
      <c r="Z1" s="4"/>
      <c r="AA1" s="5"/>
    </row>
    <row r="2" spans="1:34" hidden="1" outlineLevel="1">
      <c r="A2" s="9">
        <f>MAX(F36:AF36)</f>
        <v>16690.700427687836</v>
      </c>
      <c r="B2" s="10">
        <f>MIN(D36:AH36)</f>
        <v>0</v>
      </c>
      <c r="C2" s="1"/>
      <c r="D2" s="2"/>
      <c r="E2" s="2"/>
      <c r="F2" s="2"/>
      <c r="G2" s="3"/>
      <c r="H2" s="2"/>
      <c r="I2" s="4"/>
      <c r="J2" s="4"/>
      <c r="K2" s="4"/>
      <c r="L2" s="4"/>
      <c r="M2" s="4"/>
      <c r="N2" s="5"/>
      <c r="Q2" s="2"/>
      <c r="R2" s="2"/>
      <c r="S2" s="2"/>
      <c r="T2" s="2"/>
      <c r="U2" s="2"/>
      <c r="V2" s="4"/>
      <c r="W2" s="4"/>
      <c r="X2" s="4"/>
      <c r="Y2" s="4"/>
      <c r="Z2" s="4"/>
      <c r="AA2" s="5"/>
    </row>
    <row r="3" spans="1:34" collapsed="1">
      <c r="A3" s="9"/>
      <c r="B3" s="10"/>
      <c r="C3" s="1"/>
      <c r="D3" s="2"/>
      <c r="E3" s="2"/>
      <c r="F3" s="2"/>
      <c r="G3" s="3"/>
      <c r="H3" s="2"/>
      <c r="I3" s="4"/>
      <c r="J3" s="4"/>
      <c r="K3" s="4"/>
      <c r="L3" s="4"/>
      <c r="M3" s="4"/>
      <c r="N3" s="5"/>
      <c r="Q3" s="2"/>
      <c r="R3" s="2"/>
      <c r="S3" s="2"/>
      <c r="T3" s="2"/>
      <c r="U3" s="2"/>
      <c r="V3" s="4"/>
      <c r="W3" s="4"/>
      <c r="X3" s="4"/>
      <c r="Y3" s="4"/>
      <c r="Z3" s="4"/>
      <c r="AA3" s="5"/>
    </row>
    <row r="4" spans="1:34">
      <c r="A4" s="11"/>
      <c r="B4" s="12" t="str">
        <f>Исх!$C$9</f>
        <v>тыс.тг.</v>
      </c>
      <c r="C4" s="1"/>
      <c r="D4" s="2"/>
      <c r="E4" s="2"/>
      <c r="F4" s="3"/>
      <c r="G4" s="3"/>
      <c r="I4" s="13"/>
      <c r="J4" s="2"/>
      <c r="K4" s="2"/>
      <c r="L4" s="14"/>
      <c r="M4" s="2"/>
      <c r="N4" s="2"/>
      <c r="Q4" s="2"/>
      <c r="R4" s="2"/>
      <c r="S4" s="3"/>
      <c r="T4" s="2"/>
      <c r="V4" s="13"/>
      <c r="W4" s="2"/>
      <c r="X4" s="2"/>
      <c r="Y4" s="14"/>
      <c r="Z4" s="2"/>
      <c r="AA4" s="2"/>
    </row>
    <row r="5" spans="1:34" ht="15.75" customHeight="1">
      <c r="A5" s="353" t="s">
        <v>3</v>
      </c>
      <c r="B5" s="355" t="s">
        <v>1</v>
      </c>
      <c r="C5" s="15"/>
      <c r="D5" s="355">
        <v>2012</v>
      </c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>
        <v>2013</v>
      </c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15">
        <v>2014</v>
      </c>
      <c r="AE5" s="15">
        <f>AD5+1</f>
        <v>2015</v>
      </c>
      <c r="AF5" s="15">
        <f>AE5+1</f>
        <v>2016</v>
      </c>
      <c r="AG5" s="15">
        <f>AF5+1</f>
        <v>2017</v>
      </c>
      <c r="AH5" s="15">
        <f>AG5+1</f>
        <v>2018</v>
      </c>
    </row>
    <row r="6" spans="1:34">
      <c r="A6" s="354"/>
      <c r="B6" s="355"/>
      <c r="C6" s="15"/>
      <c r="D6" s="16">
        <v>1</v>
      </c>
      <c r="E6" s="16">
        <f>D6+1</f>
        <v>2</v>
      </c>
      <c r="F6" s="16">
        <f t="shared" ref="F6:O6" si="0">E6+1</f>
        <v>3</v>
      </c>
      <c r="G6" s="16">
        <f t="shared" si="0"/>
        <v>4</v>
      </c>
      <c r="H6" s="16">
        <f t="shared" si="0"/>
        <v>5</v>
      </c>
      <c r="I6" s="16">
        <f t="shared" si="0"/>
        <v>6</v>
      </c>
      <c r="J6" s="16">
        <f t="shared" si="0"/>
        <v>7</v>
      </c>
      <c r="K6" s="16">
        <f t="shared" si="0"/>
        <v>8</v>
      </c>
      <c r="L6" s="16">
        <f t="shared" si="0"/>
        <v>9</v>
      </c>
      <c r="M6" s="16">
        <f t="shared" si="0"/>
        <v>10</v>
      </c>
      <c r="N6" s="16">
        <f t="shared" si="0"/>
        <v>11</v>
      </c>
      <c r="O6" s="16">
        <f t="shared" si="0"/>
        <v>12</v>
      </c>
      <c r="P6" s="15" t="s">
        <v>1</v>
      </c>
      <c r="Q6" s="16">
        <v>1</v>
      </c>
      <c r="R6" s="16">
        <f>Q6+1</f>
        <v>2</v>
      </c>
      <c r="S6" s="16">
        <f t="shared" ref="S6:AB6" si="1">R6+1</f>
        <v>3</v>
      </c>
      <c r="T6" s="16">
        <f t="shared" si="1"/>
        <v>4</v>
      </c>
      <c r="U6" s="16">
        <f t="shared" si="1"/>
        <v>5</v>
      </c>
      <c r="V6" s="16">
        <f t="shared" si="1"/>
        <v>6</v>
      </c>
      <c r="W6" s="16">
        <f t="shared" si="1"/>
        <v>7</v>
      </c>
      <c r="X6" s="16">
        <f t="shared" si="1"/>
        <v>8</v>
      </c>
      <c r="Y6" s="16">
        <f t="shared" si="1"/>
        <v>9</v>
      </c>
      <c r="Z6" s="16">
        <f t="shared" si="1"/>
        <v>10</v>
      </c>
      <c r="AA6" s="16">
        <f t="shared" si="1"/>
        <v>11</v>
      </c>
      <c r="AB6" s="16">
        <f t="shared" si="1"/>
        <v>12</v>
      </c>
      <c r="AC6" s="15" t="s">
        <v>1</v>
      </c>
      <c r="AD6" s="15" t="s">
        <v>126</v>
      </c>
      <c r="AE6" s="15" t="s">
        <v>126</v>
      </c>
      <c r="AF6" s="15" t="s">
        <v>126</v>
      </c>
      <c r="AG6" s="15" t="s">
        <v>126</v>
      </c>
      <c r="AH6" s="15" t="s">
        <v>126</v>
      </c>
    </row>
    <row r="7" spans="1:34" s="21" customFormat="1" ht="25.5">
      <c r="A7" s="17" t="s">
        <v>5</v>
      </c>
      <c r="B7" s="18">
        <f>P7</f>
        <v>0</v>
      </c>
      <c r="C7" s="19"/>
      <c r="D7" s="20">
        <f>C36</f>
        <v>0</v>
      </c>
      <c r="E7" s="20">
        <f t="shared" ref="E7:K7" si="2">D36</f>
        <v>0</v>
      </c>
      <c r="F7" s="20">
        <f t="shared" si="2"/>
        <v>0</v>
      </c>
      <c r="G7" s="20">
        <f t="shared" si="2"/>
        <v>0</v>
      </c>
      <c r="H7" s="20">
        <f t="shared" si="2"/>
        <v>30.264918000100579</v>
      </c>
      <c r="I7" s="20">
        <f t="shared" si="2"/>
        <v>60.529836000201158</v>
      </c>
      <c r="J7" s="20">
        <f t="shared" si="2"/>
        <v>3090.7947540003015</v>
      </c>
      <c r="K7" s="20">
        <f t="shared" si="2"/>
        <v>3121.0596720004023</v>
      </c>
      <c r="L7" s="20">
        <f>K36</f>
        <v>3151.3245900005031</v>
      </c>
      <c r="M7" s="20">
        <f>L36</f>
        <v>3181.5895080006039</v>
      </c>
      <c r="N7" s="20">
        <f>M36</f>
        <v>2167.321615391731</v>
      </c>
      <c r="O7" s="20">
        <f>N36</f>
        <v>1157.2924066519965</v>
      </c>
      <c r="P7" s="20">
        <f>D7</f>
        <v>0</v>
      </c>
      <c r="Q7" s="20">
        <f>P36</f>
        <v>151.50188178139979</v>
      </c>
      <c r="R7" s="20">
        <f t="shared" ref="R7:AA7" si="3">Q36</f>
        <v>187.17871206488053</v>
      </c>
      <c r="S7" s="20">
        <f t="shared" si="3"/>
        <v>227.094226217499</v>
      </c>
      <c r="T7" s="20">
        <f t="shared" si="3"/>
        <v>271.24842423925566</v>
      </c>
      <c r="U7" s="20">
        <f t="shared" si="3"/>
        <v>319.64130613015004</v>
      </c>
      <c r="V7" s="20">
        <f t="shared" si="3"/>
        <v>372.27287189018216</v>
      </c>
      <c r="W7" s="20">
        <f t="shared" si="3"/>
        <v>429.14312151935201</v>
      </c>
      <c r="X7" s="20">
        <f t="shared" si="3"/>
        <v>490.25205501766004</v>
      </c>
      <c r="Y7" s="20">
        <f t="shared" si="3"/>
        <v>555.59967238510581</v>
      </c>
      <c r="Z7" s="20">
        <f t="shared" si="3"/>
        <v>625.1859736216893</v>
      </c>
      <c r="AA7" s="20">
        <f t="shared" si="3"/>
        <v>699.01095872741053</v>
      </c>
      <c r="AB7" s="20">
        <f>AA36</f>
        <v>777.07462770226994</v>
      </c>
      <c r="AC7" s="20">
        <f>Q7</f>
        <v>151.50188178139979</v>
      </c>
      <c r="AD7" s="20">
        <f>AC36</f>
        <v>859.37698054626708</v>
      </c>
      <c r="AE7" s="20">
        <f>AD36</f>
        <v>4455.4739977473746</v>
      </c>
      <c r="AF7" s="20">
        <f>AE36</f>
        <v>11840.841869186934</v>
      </c>
      <c r="AG7" s="20">
        <f>AF36</f>
        <v>16690.700427687836</v>
      </c>
      <c r="AH7" s="20">
        <f>AG36</f>
        <v>30547.24669031797</v>
      </c>
    </row>
    <row r="8" spans="1:34" s="21" customFormat="1">
      <c r="A8" s="22" t="s">
        <v>11</v>
      </c>
      <c r="B8" s="23"/>
      <c r="C8" s="23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</row>
    <row r="9" spans="1:34" s="21" customFormat="1">
      <c r="A9" s="26" t="s">
        <v>19</v>
      </c>
      <c r="B9" s="27">
        <f>P9+AC9+AD9+AE9+AF9+AG9+AH9</f>
        <v>297262.55078047508</v>
      </c>
      <c r="C9" s="27"/>
      <c r="D9" s="27">
        <f t="shared" ref="D9:AH9" si="4">SUM(D10:D11)</f>
        <v>0</v>
      </c>
      <c r="E9" s="27">
        <f t="shared" si="4"/>
        <v>0</v>
      </c>
      <c r="F9" s="27">
        <f t="shared" si="4"/>
        <v>0</v>
      </c>
      <c r="G9" s="27">
        <f t="shared" si="4"/>
        <v>1955.5200000000002</v>
      </c>
      <c r="H9" s="27">
        <f t="shared" si="4"/>
        <v>1955.5200000000002</v>
      </c>
      <c r="I9" s="27">
        <f t="shared" si="4"/>
        <v>1955.5200000000002</v>
      </c>
      <c r="J9" s="27">
        <f t="shared" si="4"/>
        <v>1955.5200000000002</v>
      </c>
      <c r="K9" s="27">
        <f t="shared" si="4"/>
        <v>1955.5200000000002</v>
      </c>
      <c r="L9" s="27">
        <f t="shared" si="4"/>
        <v>1955.5200000000002</v>
      </c>
      <c r="M9" s="27">
        <f t="shared" si="4"/>
        <v>1955.5200000000002</v>
      </c>
      <c r="N9" s="27">
        <f t="shared" si="4"/>
        <v>1955.5200000000002</v>
      </c>
      <c r="O9" s="27">
        <f t="shared" si="4"/>
        <v>1955.5200000000002</v>
      </c>
      <c r="P9" s="27">
        <f t="shared" si="4"/>
        <v>17599.68</v>
      </c>
      <c r="Q9" s="27">
        <f t="shared" si="4"/>
        <v>3062.0511833333339</v>
      </c>
      <c r="R9" s="27">
        <f t="shared" si="4"/>
        <v>3062.0511833333339</v>
      </c>
      <c r="S9" s="27">
        <f t="shared" si="4"/>
        <v>3062.0511833333339</v>
      </c>
      <c r="T9" s="27">
        <f t="shared" si="4"/>
        <v>3062.0511833333339</v>
      </c>
      <c r="U9" s="27">
        <f t="shared" si="4"/>
        <v>3062.0511833333339</v>
      </c>
      <c r="V9" s="27">
        <f t="shared" si="4"/>
        <v>3062.0511833333339</v>
      </c>
      <c r="W9" s="27">
        <f t="shared" si="4"/>
        <v>3062.0511833333339</v>
      </c>
      <c r="X9" s="27">
        <f t="shared" si="4"/>
        <v>3062.0511833333339</v>
      </c>
      <c r="Y9" s="27">
        <f t="shared" si="4"/>
        <v>3062.0511833333339</v>
      </c>
      <c r="Z9" s="27">
        <f t="shared" si="4"/>
        <v>3062.0511833333339</v>
      </c>
      <c r="AA9" s="27">
        <f t="shared" si="4"/>
        <v>3062.0511833333339</v>
      </c>
      <c r="AB9" s="27">
        <f t="shared" si="4"/>
        <v>3062.0511833333339</v>
      </c>
      <c r="AC9" s="27">
        <f t="shared" si="4"/>
        <v>36744.614199999996</v>
      </c>
      <c r="AD9" s="27">
        <f t="shared" si="4"/>
        <v>40372.275790000007</v>
      </c>
      <c r="AE9" s="27">
        <f t="shared" si="4"/>
        <v>46542.604780000009</v>
      </c>
      <c r="AF9" s="27">
        <f t="shared" si="4"/>
        <v>44030.873155500012</v>
      </c>
      <c r="AG9" s="27">
        <f t="shared" si="4"/>
        <v>55180.616956500016</v>
      </c>
      <c r="AH9" s="27">
        <f t="shared" si="4"/>
        <v>56791.885898475026</v>
      </c>
    </row>
    <row r="10" spans="1:34">
      <c r="A10" s="28" t="str">
        <f>'2-ф2'!A6</f>
        <v>Молоко</v>
      </c>
      <c r="B10" s="27">
        <f t="shared" ref="B10:B18" si="5">P10+AC10+AD10+AE10+AF10+AG10+AH10</f>
        <v>198081.46512000007</v>
      </c>
      <c r="C10" s="27"/>
      <c r="D10" s="29">
        <f>'2-ф2'!D6*Исх!$C$18</f>
        <v>0</v>
      </c>
      <c r="E10" s="29">
        <f>'2-ф2'!E6*Исх!$C$18</f>
        <v>0</v>
      </c>
      <c r="F10" s="29">
        <f>'2-ф2'!F6*Исх!$C$18</f>
        <v>0</v>
      </c>
      <c r="G10" s="29">
        <f>'2-ф2'!G6*Исх!$C$18</f>
        <v>1955.5200000000002</v>
      </c>
      <c r="H10" s="29">
        <f>'2-ф2'!H6*Исх!$C$18</f>
        <v>1955.5200000000002</v>
      </c>
      <c r="I10" s="29">
        <f>'2-ф2'!I6*Исх!$C$18</f>
        <v>1955.5200000000002</v>
      </c>
      <c r="J10" s="29">
        <f>'2-ф2'!J6*Исх!$C$18</f>
        <v>1955.5200000000002</v>
      </c>
      <c r="K10" s="29">
        <f>'2-ф2'!K6*Исх!$C$18</f>
        <v>1955.5200000000002</v>
      </c>
      <c r="L10" s="29">
        <f>'2-ф2'!L6*Исх!$C$18</f>
        <v>1955.5200000000002</v>
      </c>
      <c r="M10" s="29">
        <f>'2-ф2'!M6*Исх!$C$18</f>
        <v>1955.5200000000002</v>
      </c>
      <c r="N10" s="29">
        <f>'2-ф2'!N6*Исх!$C$18</f>
        <v>1955.5200000000002</v>
      </c>
      <c r="O10" s="29">
        <f>'2-ф2'!O6*Исх!$C$18</f>
        <v>1955.5200000000002</v>
      </c>
      <c r="P10" s="27">
        <f>SUM(D10:O10)</f>
        <v>17599.68</v>
      </c>
      <c r="Q10" s="29">
        <f>'2-ф2'!Q6*Исх!$C$18</f>
        <v>1955.5200000000002</v>
      </c>
      <c r="R10" s="29">
        <f>'2-ф2'!R6*Исх!$C$18</f>
        <v>1955.5200000000002</v>
      </c>
      <c r="S10" s="29">
        <f>'2-ф2'!S6*Исх!$C$18</f>
        <v>1955.5200000000002</v>
      </c>
      <c r="T10" s="29">
        <f>'2-ф2'!T6*Исх!$C$18</f>
        <v>1955.5200000000002</v>
      </c>
      <c r="U10" s="29">
        <f>'2-ф2'!U6*Исх!$C$18</f>
        <v>1955.5200000000002</v>
      </c>
      <c r="V10" s="29">
        <f>'2-ф2'!V6*Исх!$C$18</f>
        <v>1955.5200000000002</v>
      </c>
      <c r="W10" s="29">
        <f>'2-ф2'!W6*Исх!$C$18</f>
        <v>1955.5200000000002</v>
      </c>
      <c r="X10" s="29">
        <f>'2-ф2'!X6*Исх!$C$18</f>
        <v>1955.5200000000002</v>
      </c>
      <c r="Y10" s="29">
        <f>'2-ф2'!Y6*Исх!$C$18</f>
        <v>1955.5200000000002</v>
      </c>
      <c r="Z10" s="29">
        <f>'2-ф2'!Z6*Исх!$C$18</f>
        <v>1955.5200000000002</v>
      </c>
      <c r="AA10" s="29">
        <f>'2-ф2'!AA6*Исх!$C$18</f>
        <v>1955.5200000000002</v>
      </c>
      <c r="AB10" s="29">
        <f>'2-ф2'!AB6*Исх!$C$18</f>
        <v>1955.5200000000002</v>
      </c>
      <c r="AC10" s="27">
        <f>SUM(Q10:AB10)</f>
        <v>23466.240000000002</v>
      </c>
      <c r="AD10" s="29">
        <f>'2-ф2'!AD6*Исх!$C$18</f>
        <v>26203.968000000004</v>
      </c>
      <c r="AE10" s="29">
        <f>'2-ф2'!AE6*Исх!$C$18</f>
        <v>28941.696000000007</v>
      </c>
      <c r="AF10" s="29">
        <f>'2-ф2'!AF6*Исх!$C$18</f>
        <v>29391.46560000001</v>
      </c>
      <c r="AG10" s="29">
        <f>'2-ф2'!AG6*Исх!$C$18</f>
        <v>35375.356800000016</v>
      </c>
      <c r="AH10" s="29">
        <f>'2-ф2'!AH6*Исх!$C$18</f>
        <v>37103.058720000023</v>
      </c>
    </row>
    <row r="11" spans="1:34">
      <c r="A11" s="28" t="str">
        <f>'2-ф2'!A7</f>
        <v>Мясо</v>
      </c>
      <c r="B11" s="27">
        <f t="shared" si="5"/>
        <v>99181.085660475015</v>
      </c>
      <c r="C11" s="27"/>
      <c r="D11" s="29">
        <f>'2-ф2'!D7*Исх!$C$18</f>
        <v>0</v>
      </c>
      <c r="E11" s="29">
        <f>'2-ф2'!E7*Исх!$C$18</f>
        <v>0</v>
      </c>
      <c r="F11" s="29">
        <f>'2-ф2'!F7*Исх!$C$18</f>
        <v>0</v>
      </c>
      <c r="G11" s="29">
        <f>'2-ф2'!G7*Исх!$C$18</f>
        <v>0</v>
      </c>
      <c r="H11" s="29">
        <f>'2-ф2'!H7*Исх!$C$18</f>
        <v>0</v>
      </c>
      <c r="I11" s="29">
        <f>'2-ф2'!I7*Исх!$C$18</f>
        <v>0</v>
      </c>
      <c r="J11" s="29">
        <f>'2-ф2'!J7*Исх!$C$18</f>
        <v>0</v>
      </c>
      <c r="K11" s="29">
        <f>'2-ф2'!K7*Исх!$C$18</f>
        <v>0</v>
      </c>
      <c r="L11" s="29">
        <f>'2-ф2'!L7*Исх!$C$18</f>
        <v>0</v>
      </c>
      <c r="M11" s="29">
        <f>'2-ф2'!M7*Исх!$C$18</f>
        <v>0</v>
      </c>
      <c r="N11" s="29">
        <f>'2-ф2'!N7*Исх!$C$18</f>
        <v>0</v>
      </c>
      <c r="O11" s="29">
        <f>'2-ф2'!O7*Исх!$C$18</f>
        <v>0</v>
      </c>
      <c r="P11" s="27">
        <f>SUM(D11:O11)</f>
        <v>0</v>
      </c>
      <c r="Q11" s="29">
        <f>'2-ф2'!Q7*Исх!$C$18</f>
        <v>1106.5311833333335</v>
      </c>
      <c r="R11" s="29">
        <f>'2-ф2'!R7*Исх!$C$18</f>
        <v>1106.5311833333335</v>
      </c>
      <c r="S11" s="29">
        <f>'2-ф2'!S7*Исх!$C$18</f>
        <v>1106.5311833333335</v>
      </c>
      <c r="T11" s="29">
        <f>'2-ф2'!T7*Исх!$C$18</f>
        <v>1106.5311833333335</v>
      </c>
      <c r="U11" s="29">
        <f>'2-ф2'!U7*Исх!$C$18</f>
        <v>1106.5311833333335</v>
      </c>
      <c r="V11" s="29">
        <f>'2-ф2'!V7*Исх!$C$18</f>
        <v>1106.5311833333335</v>
      </c>
      <c r="W11" s="29">
        <f>'2-ф2'!W7*Исх!$C$18</f>
        <v>1106.5311833333335</v>
      </c>
      <c r="X11" s="29">
        <f>'2-ф2'!X7*Исх!$C$18</f>
        <v>1106.5311833333335</v>
      </c>
      <c r="Y11" s="29">
        <f>'2-ф2'!Y7*Исх!$C$18</f>
        <v>1106.5311833333335</v>
      </c>
      <c r="Z11" s="29">
        <f>'2-ф2'!Z7*Исх!$C$18</f>
        <v>1106.5311833333335</v>
      </c>
      <c r="AA11" s="29">
        <f>'2-ф2'!AA7*Исх!$C$18</f>
        <v>1106.5311833333335</v>
      </c>
      <c r="AB11" s="29">
        <f>'2-ф2'!AB7*Исх!$C$18</f>
        <v>1106.5311833333335</v>
      </c>
      <c r="AC11" s="27">
        <f>SUM(Q11:AB11)</f>
        <v>13278.374199999998</v>
      </c>
      <c r="AD11" s="29">
        <f>'2-ф2'!AD7*Исх!$C$18</f>
        <v>14168.307790000001</v>
      </c>
      <c r="AE11" s="29">
        <f>'2-ф2'!AE7*Исх!$C$18</f>
        <v>17600.908780000002</v>
      </c>
      <c r="AF11" s="29">
        <f>'2-ф2'!AF7*Исх!$C$18</f>
        <v>14639.407555500002</v>
      </c>
      <c r="AG11" s="29">
        <f>'2-ф2'!AG7*Исх!$C$18</f>
        <v>19805.260156500004</v>
      </c>
      <c r="AH11" s="29">
        <f>'2-ф2'!AH7*Исх!$C$18</f>
        <v>19688.827178475003</v>
      </c>
    </row>
    <row r="12" spans="1:34" s="21" customFormat="1">
      <c r="A12" s="30" t="s">
        <v>6</v>
      </c>
      <c r="B12" s="27">
        <f t="shared" si="5"/>
        <v>201522.03552858497</v>
      </c>
      <c r="C12" s="27"/>
      <c r="D12" s="31">
        <f t="shared" ref="D12:AH12" si="6">SUM(D13:D18)</f>
        <v>0</v>
      </c>
      <c r="E12" s="31">
        <f t="shared" si="6"/>
        <v>0</v>
      </c>
      <c r="F12" s="31">
        <f t="shared" si="6"/>
        <v>730.35234374999993</v>
      </c>
      <c r="G12" s="31">
        <f t="shared" si="6"/>
        <v>1925.2550819998996</v>
      </c>
      <c r="H12" s="31">
        <f t="shared" si="6"/>
        <v>1925.2550819998996</v>
      </c>
      <c r="I12" s="31">
        <f t="shared" si="6"/>
        <v>1925.2550819998996</v>
      </c>
      <c r="J12" s="31">
        <f t="shared" si="6"/>
        <v>1925.2550819998996</v>
      </c>
      <c r="K12" s="31">
        <f t="shared" si="6"/>
        <v>1925.2550819998996</v>
      </c>
      <c r="L12" s="31">
        <f t="shared" si="6"/>
        <v>1925.2550819998996</v>
      </c>
      <c r="M12" s="31">
        <f t="shared" si="6"/>
        <v>2243.1563721852394</v>
      </c>
      <c r="N12" s="31">
        <f t="shared" si="6"/>
        <v>2238.9176883161012</v>
      </c>
      <c r="O12" s="31">
        <f t="shared" si="6"/>
        <v>2234.6790044469635</v>
      </c>
      <c r="P12" s="31">
        <f t="shared" si="6"/>
        <v>18998.635900697704</v>
      </c>
      <c r="Q12" s="31">
        <f t="shared" si="6"/>
        <v>2299.7428326262198</v>
      </c>
      <c r="R12" s="31">
        <f t="shared" si="6"/>
        <v>2295.504148757082</v>
      </c>
      <c r="S12" s="31">
        <f t="shared" si="6"/>
        <v>2291.2654648879438</v>
      </c>
      <c r="T12" s="31">
        <f t="shared" si="6"/>
        <v>2287.0267810188061</v>
      </c>
      <c r="U12" s="31">
        <f t="shared" si="6"/>
        <v>2282.7880971496684</v>
      </c>
      <c r="V12" s="31">
        <f t="shared" si="6"/>
        <v>2278.5494132805306</v>
      </c>
      <c r="W12" s="31">
        <f t="shared" si="6"/>
        <v>2274.3107294113925</v>
      </c>
      <c r="X12" s="31">
        <f t="shared" si="6"/>
        <v>2270.0720455422547</v>
      </c>
      <c r="Y12" s="31">
        <f t="shared" si="6"/>
        <v>2265.833361673117</v>
      </c>
      <c r="Z12" s="31">
        <f t="shared" si="6"/>
        <v>2261.5946778039793</v>
      </c>
      <c r="AA12" s="31">
        <f t="shared" si="6"/>
        <v>2257.3559939348411</v>
      </c>
      <c r="AB12" s="31">
        <f t="shared" si="6"/>
        <v>2253.1173100657034</v>
      </c>
      <c r="AC12" s="31">
        <f t="shared" si="6"/>
        <v>27317.160856151539</v>
      </c>
      <c r="AD12" s="31">
        <f t="shared" si="6"/>
        <v>28056.600527715298</v>
      </c>
      <c r="AE12" s="31">
        <f t="shared" si="6"/>
        <v>30437.658663476846</v>
      </c>
      <c r="AF12" s="31">
        <f t="shared" si="6"/>
        <v>30461.436351915509</v>
      </c>
      <c r="AG12" s="31">
        <f t="shared" si="6"/>
        <v>32604.492448786285</v>
      </c>
      <c r="AH12" s="31">
        <f t="shared" si="6"/>
        <v>33646.050779841789</v>
      </c>
    </row>
    <row r="13" spans="1:34">
      <c r="A13" s="28" t="str">
        <f>'2-ф2'!A9</f>
        <v>Корма</v>
      </c>
      <c r="B13" s="27">
        <f t="shared" si="5"/>
        <v>25806.309683593754</v>
      </c>
      <c r="C13" s="32"/>
      <c r="D13" s="29">
        <f>'2-ф2'!D9*Исх!$C$18</f>
        <v>0</v>
      </c>
      <c r="E13" s="29">
        <f>'2-ф2'!E9*Исх!$C$18</f>
        <v>0</v>
      </c>
      <c r="F13" s="33">
        <f>O13*3</f>
        <v>730.35234374999993</v>
      </c>
      <c r="G13" s="29">
        <f>'2-ф2'!G9*Исх!$C$18</f>
        <v>243.45078124999998</v>
      </c>
      <c r="H13" s="29">
        <f>'2-ф2'!H9*Исх!$C$18</f>
        <v>243.45078124999998</v>
      </c>
      <c r="I13" s="29">
        <f>'2-ф2'!I9*Исх!$C$18</f>
        <v>243.45078124999998</v>
      </c>
      <c r="J13" s="29">
        <f>'2-ф2'!J9*Исх!$C$18</f>
        <v>243.45078124999998</v>
      </c>
      <c r="K13" s="29">
        <f>'2-ф2'!K9*Исх!$C$18</f>
        <v>243.45078124999998</v>
      </c>
      <c r="L13" s="29">
        <f>'2-ф2'!L9*Исх!$C$18</f>
        <v>243.45078124999998</v>
      </c>
      <c r="M13" s="29">
        <f>'2-ф2'!M9*Исх!$C$18</f>
        <v>243.45078124999998</v>
      </c>
      <c r="N13" s="29">
        <f>'2-ф2'!N9*Исх!$C$18</f>
        <v>243.45078124999998</v>
      </c>
      <c r="O13" s="29">
        <f>'2-ф2'!O9*Исх!$C$18</f>
        <v>243.45078124999998</v>
      </c>
      <c r="P13" s="27">
        <f t="shared" ref="P13:P18" si="7">SUM(D13:O13)</f>
        <v>2921.4093750000006</v>
      </c>
      <c r="Q13" s="29">
        <f>'2-ф2'!Q9*Исх!$C$18</f>
        <v>257.07675781250003</v>
      </c>
      <c r="R13" s="29">
        <f>'2-ф2'!R9*Исх!$C$18</f>
        <v>257.07675781250003</v>
      </c>
      <c r="S13" s="29">
        <f>'2-ф2'!S9*Исх!$C$18</f>
        <v>257.07675781250003</v>
      </c>
      <c r="T13" s="29">
        <f>'2-ф2'!T9*Исх!$C$18</f>
        <v>257.07675781250003</v>
      </c>
      <c r="U13" s="29">
        <f>'2-ф2'!U9*Исх!$C$18</f>
        <v>257.07675781250003</v>
      </c>
      <c r="V13" s="29">
        <f>'2-ф2'!V9*Исх!$C$18</f>
        <v>257.07675781250003</v>
      </c>
      <c r="W13" s="29">
        <f>'2-ф2'!W9*Исх!$C$18</f>
        <v>257.07675781250003</v>
      </c>
      <c r="X13" s="29">
        <f>'2-ф2'!X9*Исх!$C$18</f>
        <v>257.07675781250003</v>
      </c>
      <c r="Y13" s="29">
        <f>'2-ф2'!Y9*Исх!$C$18</f>
        <v>257.07675781250003</v>
      </c>
      <c r="Z13" s="29">
        <f>'2-ф2'!Z9*Исх!$C$18</f>
        <v>257.07675781250003</v>
      </c>
      <c r="AA13" s="29">
        <f>'2-ф2'!AA9*Исх!$C$18</f>
        <v>257.07675781250003</v>
      </c>
      <c r="AB13" s="29">
        <f>'2-ф2'!AB9*Исх!$C$18</f>
        <v>257.07675781250003</v>
      </c>
      <c r="AC13" s="27">
        <f t="shared" ref="AC13:AC18" si="8">SUM(Q13:AB13)</f>
        <v>3084.9210937500006</v>
      </c>
      <c r="AD13" s="29">
        <f>'2-ф2'!AD9*Исх!$C$18</f>
        <v>3332.0054687500001</v>
      </c>
      <c r="AE13" s="29">
        <f>'2-ф2'!AE9*Исх!$C$18</f>
        <v>3639.9525390624999</v>
      </c>
      <c r="AF13" s="29">
        <f>'2-ф2'!AF9*Исх!$C$18</f>
        <v>3840.1635546875</v>
      </c>
      <c r="AG13" s="29">
        <f>'2-ф2'!AG9*Исх!$C$18</f>
        <v>4304.7639355468755</v>
      </c>
      <c r="AH13" s="29">
        <f>'2-ф2'!AH9*Исх!$C$18</f>
        <v>4683.0937167968759</v>
      </c>
    </row>
    <row r="14" spans="1:34">
      <c r="A14" s="28" t="str">
        <f>'2-ф2'!A10</f>
        <v>Сдельная заработная плата</v>
      </c>
      <c r="B14" s="27">
        <f>P14+AC14+AD14+AE14+AF14+AG14+AH14</f>
        <v>74629.209339295296</v>
      </c>
      <c r="C14" s="32"/>
      <c r="D14" s="29">
        <f>'2-ф2'!D10</f>
        <v>0</v>
      </c>
      <c r="E14" s="29">
        <f>'2-ф2'!E10</f>
        <v>0</v>
      </c>
      <c r="F14" s="29">
        <f>'2-ф2'!F10</f>
        <v>0</v>
      </c>
      <c r="G14" s="29">
        <f>'2-ф2'!G10</f>
        <v>705.69799999999998</v>
      </c>
      <c r="H14" s="29">
        <f>'2-ф2'!H10</f>
        <v>705.69799999999998</v>
      </c>
      <c r="I14" s="29">
        <f>'2-ф2'!I10</f>
        <v>705.69799999999998</v>
      </c>
      <c r="J14" s="29">
        <f>'2-ф2'!J10</f>
        <v>705.69799999999998</v>
      </c>
      <c r="K14" s="29">
        <f>'2-ф2'!K10</f>
        <v>705.69799999999998</v>
      </c>
      <c r="L14" s="29">
        <f>'2-ф2'!L10</f>
        <v>705.69799999999998</v>
      </c>
      <c r="M14" s="29">
        <f>'2-ф2'!M10</f>
        <v>705.69799999999998</v>
      </c>
      <c r="N14" s="29">
        <f>'2-ф2'!N10</f>
        <v>705.69799999999998</v>
      </c>
      <c r="O14" s="29">
        <f>'2-ф2'!O10</f>
        <v>705.69799999999998</v>
      </c>
      <c r="P14" s="27">
        <f>SUM(D14:O14)</f>
        <v>6351.2820000000011</v>
      </c>
      <c r="Q14" s="29">
        <f>'2-ф2'!Q10</f>
        <v>758.9805671140939</v>
      </c>
      <c r="R14" s="29">
        <f>'2-ф2'!R10</f>
        <v>758.9805671140939</v>
      </c>
      <c r="S14" s="29">
        <f>'2-ф2'!S10</f>
        <v>758.9805671140939</v>
      </c>
      <c r="T14" s="29">
        <f>'2-ф2'!T10</f>
        <v>758.9805671140939</v>
      </c>
      <c r="U14" s="29">
        <f>'2-ф2'!U10</f>
        <v>758.9805671140939</v>
      </c>
      <c r="V14" s="29">
        <f>'2-ф2'!V10</f>
        <v>758.9805671140939</v>
      </c>
      <c r="W14" s="29">
        <f>'2-ф2'!W10</f>
        <v>758.9805671140939</v>
      </c>
      <c r="X14" s="29">
        <f>'2-ф2'!X10</f>
        <v>758.9805671140939</v>
      </c>
      <c r="Y14" s="29">
        <f>'2-ф2'!Y10</f>
        <v>758.9805671140939</v>
      </c>
      <c r="Z14" s="29">
        <f>'2-ф2'!Z10</f>
        <v>758.9805671140939</v>
      </c>
      <c r="AA14" s="29">
        <f>'2-ф2'!AA10</f>
        <v>758.9805671140939</v>
      </c>
      <c r="AB14" s="29">
        <f>'2-ф2'!AB10</f>
        <v>758.9805671140939</v>
      </c>
      <c r="AC14" s="27">
        <f>SUM(Q14:AB14)</f>
        <v>9107.7668053691268</v>
      </c>
      <c r="AD14" s="29">
        <f>'2-ф2'!AD10</f>
        <v>9908.1893691275163</v>
      </c>
      <c r="AE14" s="29">
        <f>'2-ф2'!AE10</f>
        <v>10863.723406040268</v>
      </c>
      <c r="AF14" s="29">
        <f>'2-ф2'!AF10</f>
        <v>11495.062623489934</v>
      </c>
      <c r="AG14" s="29">
        <f>'2-ф2'!AG10</f>
        <v>12873.71944614094</v>
      </c>
      <c r="AH14" s="29">
        <f>'2-ф2'!AH10</f>
        <v>14029.465689127519</v>
      </c>
    </row>
    <row r="15" spans="1:34">
      <c r="A15" s="28" t="s">
        <v>167</v>
      </c>
      <c r="B15" s="27">
        <f t="shared" si="5"/>
        <v>79797.979846435468</v>
      </c>
      <c r="C15" s="27"/>
      <c r="D15" s="29"/>
      <c r="E15" s="29"/>
      <c r="F15" s="29"/>
      <c r="G15" s="29">
        <f>(Пост!$C$16-Пост!$C$6)*Исх!$C$18+Пост!$C$6+Пост!$C$18+Пост!$C$21</f>
        <v>976.10630074989967</v>
      </c>
      <c r="H15" s="29">
        <f>(Пост!$C$16-Пост!$C$6)*Исх!$C$18+Пост!$C$6+Пост!$C$18+Пост!$C$21</f>
        <v>976.10630074989967</v>
      </c>
      <c r="I15" s="29">
        <f>(Пост!$C$16-Пост!$C$6)*Исх!$C$18+Пост!$C$6+Пост!$C$18+Пост!$C$21</f>
        <v>976.10630074989967</v>
      </c>
      <c r="J15" s="29">
        <f>(Пост!$C$16-Пост!$C$6)*Исх!$C$18+Пост!$C$6+Пост!$C$18+Пост!$C$21</f>
        <v>976.10630074989967</v>
      </c>
      <c r="K15" s="29">
        <f>(Пост!$C$16-Пост!$C$6)*Исх!$C$18+Пост!$C$6+Пост!$C$18+Пост!$C$21</f>
        <v>976.10630074989967</v>
      </c>
      <c r="L15" s="29">
        <f>(Пост!$C$16-Пост!$C$6)*Исх!$C$18+Пост!$C$6+Пост!$C$18+Пост!$C$21</f>
        <v>976.10630074989967</v>
      </c>
      <c r="M15" s="29">
        <f>(Пост!$C$16-Пост!$C$6)*Исх!$C$18+Пост!$C$6+Пост!$C$18+Пост!$C$21</f>
        <v>976.10630074989967</v>
      </c>
      <c r="N15" s="29">
        <f>(Пост!$C$16-Пост!$C$6)*Исх!$C$18+Пост!$C$6+Пост!$C$18+Пост!$C$21</f>
        <v>976.10630074989967</v>
      </c>
      <c r="O15" s="29">
        <f>(Пост!$C$16-Пост!$C$6)*Исх!$C$18+Пост!$C$6+Пост!$C$18+Пост!$C$21</f>
        <v>976.10630074989967</v>
      </c>
      <c r="P15" s="27">
        <f t="shared" si="7"/>
        <v>8784.9567067490971</v>
      </c>
      <c r="Q15" s="29">
        <f>(Пост!$D$16-Пост!$D$6)*Исх!$C$18+Пост!$D$6+Пост!$D$18+Пост!$D$21</f>
        <v>978.5002691216996</v>
      </c>
      <c r="R15" s="29">
        <f>(Пост!$D$16-Пост!$D$6)*Исх!$C$18+Пост!$D$6+Пост!$D$18+Пост!$D$21</f>
        <v>978.5002691216996</v>
      </c>
      <c r="S15" s="29">
        <f>(Пост!$D$16-Пост!$D$6)*Исх!$C$18+Пост!$D$6+Пост!$D$18+Пост!$D$21</f>
        <v>978.5002691216996</v>
      </c>
      <c r="T15" s="29">
        <f>(Пост!$D$16-Пост!$D$6)*Исх!$C$18+Пост!$D$6+Пост!$D$18+Пост!$D$21</f>
        <v>978.5002691216996</v>
      </c>
      <c r="U15" s="29">
        <f>(Пост!$D$16-Пост!$D$6)*Исх!$C$18+Пост!$D$6+Пост!$D$18+Пост!$D$21</f>
        <v>978.5002691216996</v>
      </c>
      <c r="V15" s="29">
        <f>(Пост!$D$16-Пост!$D$6)*Исх!$C$18+Пост!$D$6+Пост!$D$18+Пост!$D$21</f>
        <v>978.5002691216996</v>
      </c>
      <c r="W15" s="29">
        <f>(Пост!$D$16-Пост!$D$6)*Исх!$C$18+Пост!$D$6+Пост!$D$18+Пост!$D$21</f>
        <v>978.5002691216996</v>
      </c>
      <c r="X15" s="29">
        <f>(Пост!$D$16-Пост!$D$6)*Исх!$C$18+Пост!$D$6+Пост!$D$18+Пост!$D$21</f>
        <v>978.5002691216996</v>
      </c>
      <c r="Y15" s="29">
        <f>(Пост!$D$16-Пост!$D$6)*Исх!$C$18+Пост!$D$6+Пост!$D$18+Пост!$D$21</f>
        <v>978.5002691216996</v>
      </c>
      <c r="Z15" s="29">
        <f>(Пост!$D$16-Пост!$D$6)*Исх!$C$18+Пост!$D$6+Пост!$D$18+Пост!$D$21</f>
        <v>978.5002691216996</v>
      </c>
      <c r="AA15" s="29">
        <f>(Пост!$D$16-Пост!$D$6)*Исх!$C$18+Пост!$D$6+Пост!$D$18+Пост!$D$21</f>
        <v>978.5002691216996</v>
      </c>
      <c r="AB15" s="29">
        <f>(Пост!$D$16-Пост!$D$6)*Исх!$C$18+Пост!$D$6+Пост!$D$18+Пост!$D$21</f>
        <v>978.5002691216996</v>
      </c>
      <c r="AC15" s="27">
        <f t="shared" si="8"/>
        <v>11742.003229460395</v>
      </c>
      <c r="AD15" s="29">
        <f>((Пост!E16-Пост!E6)*Исх!$C$18+Пост!E6+Пост!E18+Пост!E21)*12</f>
        <v>11774.090849921997</v>
      </c>
      <c r="AE15" s="29">
        <f>((Пост!F16-Пост!F6)*Исх!$C$18+Пост!F6+Пост!F18+Пост!F21)*12</f>
        <v>11809.874470383595</v>
      </c>
      <c r="AF15" s="29">
        <f>((Пост!G16-Пост!G6)*Исх!$C$18+Пост!G6+Пост!G18+Пост!G21)*12</f>
        <v>11849.723690845196</v>
      </c>
      <c r="AG15" s="29">
        <f>((Пост!H16-Пост!H6)*Исх!$C$18+Пост!H6+Пост!H18+Пост!H21)*12</f>
        <v>11894.045071306797</v>
      </c>
      <c r="AH15" s="29">
        <f>((Пост!I16-Пост!I6)*Исх!$C$18+Пост!I6+Пост!I18+Пост!I21)*12</f>
        <v>11943.285827768397</v>
      </c>
    </row>
    <row r="16" spans="1:34">
      <c r="A16" s="28" t="s">
        <v>59</v>
      </c>
      <c r="B16" s="27">
        <f t="shared" si="5"/>
        <v>12080.249027042928</v>
      </c>
      <c r="C16" s="27"/>
      <c r="D16" s="29">
        <f>кр!C11</f>
        <v>0</v>
      </c>
      <c r="E16" s="29">
        <f>кр!D11</f>
        <v>0</v>
      </c>
      <c r="F16" s="29">
        <f>кр!E11</f>
        <v>0</v>
      </c>
      <c r="G16" s="29">
        <f>кр!F11</f>
        <v>0</v>
      </c>
      <c r="H16" s="29">
        <f>кр!G11</f>
        <v>0</v>
      </c>
      <c r="I16" s="29">
        <f>кр!H11</f>
        <v>0</v>
      </c>
      <c r="J16" s="29">
        <f>кр!I11</f>
        <v>0</v>
      </c>
      <c r="K16" s="29">
        <f>кр!J11</f>
        <v>0</v>
      </c>
      <c r="L16" s="29">
        <f>кр!K11</f>
        <v>0</v>
      </c>
      <c r="M16" s="29">
        <f>кр!L11</f>
        <v>317.90129018533963</v>
      </c>
      <c r="N16" s="29">
        <f>кр!M11</f>
        <v>313.66260631620179</v>
      </c>
      <c r="O16" s="29">
        <f>кр!N11</f>
        <v>309.42392244706394</v>
      </c>
      <c r="P16" s="27">
        <f t="shared" si="7"/>
        <v>940.98781894860531</v>
      </c>
      <c r="Q16" s="29">
        <f>кр!P11</f>
        <v>305.1852385779261</v>
      </c>
      <c r="R16" s="29">
        <f>кр!Q11</f>
        <v>300.94655470878826</v>
      </c>
      <c r="S16" s="29">
        <f>кр!R11</f>
        <v>296.70787083965041</v>
      </c>
      <c r="T16" s="29">
        <f>кр!S11</f>
        <v>292.46918697051257</v>
      </c>
      <c r="U16" s="29">
        <f>кр!T11</f>
        <v>288.23050310137472</v>
      </c>
      <c r="V16" s="29">
        <f>кр!U11</f>
        <v>283.99181923223688</v>
      </c>
      <c r="W16" s="29">
        <f>кр!V11</f>
        <v>279.75313536309903</v>
      </c>
      <c r="X16" s="29">
        <f>кр!W11</f>
        <v>275.51445149396119</v>
      </c>
      <c r="Y16" s="29">
        <f>кр!X11</f>
        <v>271.27576762482335</v>
      </c>
      <c r="Z16" s="29">
        <f>кр!Y11</f>
        <v>267.0370837556855</v>
      </c>
      <c r="AA16" s="29">
        <f>кр!Z11</f>
        <v>262.79839988654766</v>
      </c>
      <c r="AB16" s="29">
        <f>кр!AA11</f>
        <v>258.55971601740981</v>
      </c>
      <c r="AC16" s="27">
        <f t="shared" si="8"/>
        <v>3382.4697275720155</v>
      </c>
      <c r="AD16" s="34">
        <f>кр!AO11</f>
        <v>2772.0992504161654</v>
      </c>
      <c r="AE16" s="34">
        <f>кр!BB11</f>
        <v>2161.7287732603149</v>
      </c>
      <c r="AF16" s="34">
        <f>кр!BO11</f>
        <v>1551.3582961044622</v>
      </c>
      <c r="AG16" s="34">
        <f>кр!CB11</f>
        <v>940.98781894860917</v>
      </c>
      <c r="AH16" s="34">
        <f>кр!CO11</f>
        <v>330.61734179275652</v>
      </c>
    </row>
    <row r="17" spans="1:34">
      <c r="A17" s="28" t="s">
        <v>20</v>
      </c>
      <c r="B17" s="27">
        <f t="shared" si="5"/>
        <v>3585.7679341902858</v>
      </c>
      <c r="C17" s="27"/>
      <c r="D17" s="29">
        <f>'2-ф2'!D16</f>
        <v>0</v>
      </c>
      <c r="E17" s="29">
        <f>'2-ф2'!E16</f>
        <v>0</v>
      </c>
      <c r="F17" s="29">
        <f>'2-ф2'!F16</f>
        <v>0</v>
      </c>
      <c r="G17" s="29">
        <f>'2-ф2'!G16</f>
        <v>0</v>
      </c>
      <c r="H17" s="29">
        <f>'2-ф2'!H16</f>
        <v>0</v>
      </c>
      <c r="I17" s="29">
        <f>'2-ф2'!I16</f>
        <v>0</v>
      </c>
      <c r="J17" s="29">
        <f>'2-ф2'!J16</f>
        <v>0</v>
      </c>
      <c r="K17" s="29">
        <f>'2-ф2'!K16</f>
        <v>0</v>
      </c>
      <c r="L17" s="29">
        <f>'2-ф2'!L16</f>
        <v>0</v>
      </c>
      <c r="M17" s="29">
        <f>'2-ф2'!M16</f>
        <v>0</v>
      </c>
      <c r="N17" s="29">
        <f>'2-ф2'!N16</f>
        <v>0</v>
      </c>
      <c r="O17" s="29">
        <f>'2-ф2'!O16</f>
        <v>0</v>
      </c>
      <c r="P17" s="27">
        <f t="shared" si="7"/>
        <v>0</v>
      </c>
      <c r="Q17" s="29">
        <f>'2-ф2'!Q16</f>
        <v>0</v>
      </c>
      <c r="R17" s="29">
        <f>'2-ф2'!R16</f>
        <v>0</v>
      </c>
      <c r="S17" s="29">
        <f>'2-ф2'!S16</f>
        <v>0</v>
      </c>
      <c r="T17" s="29">
        <f>'2-ф2'!T16</f>
        <v>0</v>
      </c>
      <c r="U17" s="29">
        <f>'2-ф2'!U16</f>
        <v>0</v>
      </c>
      <c r="V17" s="29">
        <f>'2-ф2'!V16</f>
        <v>0</v>
      </c>
      <c r="W17" s="29">
        <f>'2-ф2'!W16</f>
        <v>0</v>
      </c>
      <c r="X17" s="29">
        <f>'2-ф2'!X16</f>
        <v>0</v>
      </c>
      <c r="Y17" s="29">
        <f>'2-ф2'!Y16</f>
        <v>0</v>
      </c>
      <c r="Z17" s="29">
        <f>'2-ф2'!Z16</f>
        <v>0</v>
      </c>
      <c r="AA17" s="29">
        <f>'2-ф2'!AA16</f>
        <v>0</v>
      </c>
      <c r="AB17" s="29">
        <f>'2-ф2'!AB16</f>
        <v>0</v>
      </c>
      <c r="AC17" s="27">
        <f t="shared" si="8"/>
        <v>0</v>
      </c>
      <c r="AD17" s="29">
        <f>'2-ф2'!AD16</f>
        <v>247.31838538466249</v>
      </c>
      <c r="AE17" s="29">
        <f>'2-ф2'!AE16</f>
        <v>676.42616698574636</v>
      </c>
      <c r="AF17" s="29">
        <f>'2-ф2'!AF16</f>
        <v>527.78194390515421</v>
      </c>
      <c r="AG17" s="29">
        <f>'2-ф2'!AG16</f>
        <v>1051.7601234552831</v>
      </c>
      <c r="AH17" s="29">
        <f>'2-ф2'!AH16</f>
        <v>1082.4813144594398</v>
      </c>
    </row>
    <row r="18" spans="1:34">
      <c r="A18" s="28" t="s">
        <v>38</v>
      </c>
      <c r="B18" s="27">
        <f t="shared" si="5"/>
        <v>5622.5196980272103</v>
      </c>
      <c r="C18" s="27"/>
      <c r="D18" s="29">
        <f>'2-ф2'!D31</f>
        <v>0</v>
      </c>
      <c r="E18" s="29">
        <f>'2-ф2'!E31</f>
        <v>0</v>
      </c>
      <c r="F18" s="29">
        <f>'2-ф2'!F31</f>
        <v>0</v>
      </c>
      <c r="G18" s="29">
        <f>'2-ф2'!G31</f>
        <v>0</v>
      </c>
      <c r="H18" s="29">
        <f>'2-ф2'!H31</f>
        <v>0</v>
      </c>
      <c r="I18" s="29">
        <f>'2-ф2'!I31</f>
        <v>0</v>
      </c>
      <c r="J18" s="29">
        <f>'2-ф2'!J31</f>
        <v>0</v>
      </c>
      <c r="K18" s="29">
        <f>'2-ф2'!K31</f>
        <v>0</v>
      </c>
      <c r="L18" s="29">
        <f>'2-ф2'!L31</f>
        <v>0</v>
      </c>
      <c r="M18" s="29">
        <f>'2-ф2'!M31</f>
        <v>0</v>
      </c>
      <c r="N18" s="29">
        <f>'2-ф2'!N31</f>
        <v>0</v>
      </c>
      <c r="O18" s="29">
        <f>'2-ф2'!O31</f>
        <v>0</v>
      </c>
      <c r="P18" s="27">
        <f t="shared" si="7"/>
        <v>0</v>
      </c>
      <c r="Q18" s="29">
        <f>'2-ф2'!Q31</f>
        <v>0</v>
      </c>
      <c r="R18" s="29">
        <f>'2-ф2'!R31</f>
        <v>0</v>
      </c>
      <c r="S18" s="29">
        <f>'2-ф2'!S31</f>
        <v>0</v>
      </c>
      <c r="T18" s="29">
        <f>'2-ф2'!T31</f>
        <v>0</v>
      </c>
      <c r="U18" s="29">
        <f>'2-ф2'!U31</f>
        <v>0</v>
      </c>
      <c r="V18" s="29">
        <f>'2-ф2'!V31</f>
        <v>0</v>
      </c>
      <c r="W18" s="29">
        <f>'2-ф2'!W31</f>
        <v>0</v>
      </c>
      <c r="X18" s="29">
        <f>'2-ф2'!X31</f>
        <v>0</v>
      </c>
      <c r="Y18" s="29">
        <f>'2-ф2'!Y31</f>
        <v>0</v>
      </c>
      <c r="Z18" s="29">
        <f>'2-ф2'!Z31</f>
        <v>0</v>
      </c>
      <c r="AA18" s="29">
        <f>'2-ф2'!AA31</f>
        <v>0</v>
      </c>
      <c r="AB18" s="29">
        <f>'2-ф2'!AB31</f>
        <v>0</v>
      </c>
      <c r="AC18" s="27">
        <f t="shared" si="8"/>
        <v>0</v>
      </c>
      <c r="AD18" s="29">
        <f>'2-ф2'!AD31</f>
        <v>22.897204114954864</v>
      </c>
      <c r="AE18" s="29">
        <f>'2-ф2'!AE31</f>
        <v>1285.9533077444196</v>
      </c>
      <c r="AF18" s="29">
        <f>'2-ф2'!AF31</f>
        <v>1197.3462428832593</v>
      </c>
      <c r="AG18" s="29">
        <f>'2-ф2'!AG31</f>
        <v>1539.2160533877795</v>
      </c>
      <c r="AH18" s="29">
        <f>'2-ф2'!AH31</f>
        <v>1577.1068898967974</v>
      </c>
    </row>
    <row r="19" spans="1:34" s="21" customFormat="1" ht="25.5">
      <c r="A19" s="35" t="s">
        <v>21</v>
      </c>
      <c r="B19" s="18">
        <f>B9-B12</f>
        <v>95740.515251890116</v>
      </c>
      <c r="C19" s="18"/>
      <c r="D19" s="18">
        <f t="shared" ref="D19:AH19" si="9">D9-D12</f>
        <v>0</v>
      </c>
      <c r="E19" s="18">
        <f t="shared" si="9"/>
        <v>0</v>
      </c>
      <c r="F19" s="18">
        <f t="shared" si="9"/>
        <v>-730.35234374999993</v>
      </c>
      <c r="G19" s="18">
        <f t="shared" si="9"/>
        <v>30.264918000100579</v>
      </c>
      <c r="H19" s="18">
        <f t="shared" si="9"/>
        <v>30.264918000100579</v>
      </c>
      <c r="I19" s="18">
        <f t="shared" si="9"/>
        <v>30.264918000100579</v>
      </c>
      <c r="J19" s="18">
        <f t="shared" si="9"/>
        <v>30.264918000100579</v>
      </c>
      <c r="K19" s="18">
        <f t="shared" si="9"/>
        <v>30.264918000100579</v>
      </c>
      <c r="L19" s="18">
        <f t="shared" si="9"/>
        <v>30.264918000100579</v>
      </c>
      <c r="M19" s="18">
        <f t="shared" si="9"/>
        <v>-287.63637218523922</v>
      </c>
      <c r="N19" s="18">
        <f t="shared" si="9"/>
        <v>-283.39768831610104</v>
      </c>
      <c r="O19" s="18">
        <f t="shared" si="9"/>
        <v>-279.15900444696331</v>
      </c>
      <c r="P19" s="18">
        <f t="shared" si="9"/>
        <v>-1398.9559006977033</v>
      </c>
      <c r="Q19" s="18">
        <f t="shared" si="9"/>
        <v>762.30835070711419</v>
      </c>
      <c r="R19" s="18">
        <f t="shared" si="9"/>
        <v>766.54703457625192</v>
      </c>
      <c r="S19" s="18">
        <f t="shared" si="9"/>
        <v>770.7857184453901</v>
      </c>
      <c r="T19" s="18">
        <f t="shared" si="9"/>
        <v>775.02440231452783</v>
      </c>
      <c r="U19" s="18">
        <f t="shared" si="9"/>
        <v>779.26308618366556</v>
      </c>
      <c r="V19" s="18">
        <f t="shared" si="9"/>
        <v>783.50177005280329</v>
      </c>
      <c r="W19" s="18">
        <f t="shared" si="9"/>
        <v>787.74045392194148</v>
      </c>
      <c r="X19" s="18">
        <f t="shared" si="9"/>
        <v>791.97913779107921</v>
      </c>
      <c r="Y19" s="18">
        <f t="shared" si="9"/>
        <v>796.21782166021694</v>
      </c>
      <c r="Z19" s="18">
        <f t="shared" si="9"/>
        <v>800.45650552935467</v>
      </c>
      <c r="AA19" s="18">
        <f t="shared" si="9"/>
        <v>804.69518939849286</v>
      </c>
      <c r="AB19" s="18">
        <f t="shared" si="9"/>
        <v>808.93387326763059</v>
      </c>
      <c r="AC19" s="18">
        <f t="shared" si="9"/>
        <v>9427.4533438484577</v>
      </c>
      <c r="AD19" s="18">
        <f t="shared" si="9"/>
        <v>12315.675262284709</v>
      </c>
      <c r="AE19" s="18">
        <f t="shared" si="9"/>
        <v>16104.946116523162</v>
      </c>
      <c r="AF19" s="18">
        <f t="shared" si="9"/>
        <v>13569.436803584504</v>
      </c>
      <c r="AG19" s="18">
        <f t="shared" si="9"/>
        <v>22576.124507713732</v>
      </c>
      <c r="AH19" s="18">
        <f t="shared" si="9"/>
        <v>23145.835118633237</v>
      </c>
    </row>
    <row r="20" spans="1:34" s="21" customFormat="1">
      <c r="A20" s="22" t="s">
        <v>22</v>
      </c>
      <c r="B20" s="23"/>
      <c r="C20" s="23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36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36"/>
      <c r="AD20" s="36"/>
      <c r="AE20" s="36"/>
      <c r="AF20" s="36"/>
      <c r="AG20" s="36"/>
      <c r="AH20" s="36"/>
    </row>
    <row r="21" spans="1:34" s="21" customFormat="1">
      <c r="A21" s="26" t="s">
        <v>7</v>
      </c>
      <c r="B21" s="27"/>
      <c r="C21" s="2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2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27"/>
      <c r="AD21" s="27"/>
      <c r="AE21" s="27"/>
      <c r="AF21" s="27"/>
      <c r="AG21" s="27"/>
      <c r="AH21" s="27"/>
    </row>
    <row r="22" spans="1:34" s="21" customFormat="1">
      <c r="A22" s="26" t="s">
        <v>8</v>
      </c>
      <c r="B22" s="27">
        <f>P22+AC22+AD22+AE22+AF22+AG22+AH22</f>
        <v>76905.716591145843</v>
      </c>
      <c r="C22" s="27"/>
      <c r="D22" s="27">
        <f t="shared" ref="D22:AC22" si="10">SUM(D23:D24)</f>
        <v>9701.4490364583362</v>
      </c>
      <c r="E22" s="27">
        <f t="shared" si="10"/>
        <v>15133.011154687505</v>
      </c>
      <c r="F22" s="27">
        <f t="shared" si="10"/>
        <v>52071.256399999998</v>
      </c>
      <c r="G22" s="27">
        <f t="shared" si="10"/>
        <v>0</v>
      </c>
      <c r="H22" s="27">
        <f>SUM(H23:H24)</f>
        <v>0</v>
      </c>
      <c r="I22" s="27">
        <f t="shared" si="10"/>
        <v>0</v>
      </c>
      <c r="J22" s="27">
        <f t="shared" si="10"/>
        <v>0</v>
      </c>
      <c r="K22" s="27">
        <f t="shared" si="10"/>
        <v>0</v>
      </c>
      <c r="L22" s="27">
        <f t="shared" si="10"/>
        <v>0</v>
      </c>
      <c r="M22" s="27">
        <f t="shared" si="10"/>
        <v>0</v>
      </c>
      <c r="N22" s="27">
        <f t="shared" si="10"/>
        <v>0</v>
      </c>
      <c r="O22" s="27">
        <f t="shared" si="10"/>
        <v>0</v>
      </c>
      <c r="P22" s="27">
        <f t="shared" si="10"/>
        <v>76905.716591145843</v>
      </c>
      <c r="Q22" s="27">
        <f t="shared" si="10"/>
        <v>0</v>
      </c>
      <c r="R22" s="27">
        <f t="shared" si="10"/>
        <v>0</v>
      </c>
      <c r="S22" s="27">
        <f t="shared" si="10"/>
        <v>0</v>
      </c>
      <c r="T22" s="27">
        <f t="shared" si="10"/>
        <v>0</v>
      </c>
      <c r="U22" s="27">
        <f t="shared" si="10"/>
        <v>0</v>
      </c>
      <c r="V22" s="27">
        <f t="shared" si="10"/>
        <v>0</v>
      </c>
      <c r="W22" s="27">
        <f t="shared" si="10"/>
        <v>0</v>
      </c>
      <c r="X22" s="27">
        <f t="shared" si="10"/>
        <v>0</v>
      </c>
      <c r="Y22" s="27">
        <f t="shared" si="10"/>
        <v>0</v>
      </c>
      <c r="Z22" s="27">
        <f t="shared" si="10"/>
        <v>0</v>
      </c>
      <c r="AA22" s="27">
        <f t="shared" si="10"/>
        <v>0</v>
      </c>
      <c r="AB22" s="27">
        <f t="shared" si="10"/>
        <v>0</v>
      </c>
      <c r="AC22" s="27">
        <f t="shared" si="10"/>
        <v>0</v>
      </c>
      <c r="AD22" s="27">
        <f>SUM(AD23:AD24)</f>
        <v>0</v>
      </c>
      <c r="AE22" s="27">
        <f>SUM(AE23:AE24)</f>
        <v>0</v>
      </c>
      <c r="AF22" s="27">
        <f>SUM(AF23:AF24)</f>
        <v>0</v>
      </c>
      <c r="AG22" s="27">
        <f>SUM(AG23:AG24)</f>
        <v>0</v>
      </c>
      <c r="AH22" s="27">
        <f>SUM(AH23:AH24)</f>
        <v>0</v>
      </c>
    </row>
    <row r="23" spans="1:34">
      <c r="A23" s="38" t="s">
        <v>23</v>
      </c>
      <c r="B23" s="27">
        <f>P23+AC23+AD23+AE23+AF23+AG23+AH23</f>
        <v>76905.716591145843</v>
      </c>
      <c r="C23" s="27"/>
      <c r="D23" s="29">
        <f>Инв!E19</f>
        <v>9701.4490364583362</v>
      </c>
      <c r="E23" s="29">
        <f>Инв!F19</f>
        <v>15133.011154687505</v>
      </c>
      <c r="F23" s="29">
        <f>Инв!G19</f>
        <v>52071.256399999998</v>
      </c>
      <c r="G23" s="29">
        <f>Инв!H19</f>
        <v>0</v>
      </c>
      <c r="H23" s="29">
        <f>Инв!I19</f>
        <v>0</v>
      </c>
      <c r="I23" s="29">
        <f>Инв!J19</f>
        <v>0</v>
      </c>
      <c r="J23" s="29">
        <f>Инв!K19</f>
        <v>0</v>
      </c>
      <c r="K23" s="29"/>
      <c r="L23" s="29">
        <f>Инв!M19</f>
        <v>0</v>
      </c>
      <c r="M23" s="29">
        <f>Инв!N19</f>
        <v>0</v>
      </c>
      <c r="N23" s="29">
        <f>Инв!O19</f>
        <v>0</v>
      </c>
      <c r="O23" s="29">
        <f>Инв!P19</f>
        <v>0</v>
      </c>
      <c r="P23" s="27">
        <f>SUM(D23:O23)</f>
        <v>76905.716591145843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7">
        <f>SUM(Q23:AB23)</f>
        <v>0</v>
      </c>
      <c r="AD23" s="27"/>
      <c r="AE23" s="27"/>
      <c r="AF23" s="27"/>
      <c r="AG23" s="27"/>
      <c r="AH23" s="27"/>
    </row>
    <row r="24" spans="1:34" hidden="1" outlineLevel="1">
      <c r="A24" s="38"/>
      <c r="B24" s="27"/>
      <c r="C24" s="27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7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7"/>
      <c r="AD24" s="27"/>
      <c r="AE24" s="27"/>
      <c r="AF24" s="27"/>
      <c r="AG24" s="27"/>
      <c r="AH24" s="27"/>
    </row>
    <row r="25" spans="1:34" s="21" customFormat="1" ht="25.5" collapsed="1">
      <c r="A25" s="39" t="s">
        <v>24</v>
      </c>
      <c r="B25" s="18">
        <f>B21-B22</f>
        <v>-76905.716591145843</v>
      </c>
      <c r="C25" s="18"/>
      <c r="D25" s="18">
        <f>D21-D22</f>
        <v>-9701.4490364583362</v>
      </c>
      <c r="E25" s="18">
        <f t="shared" ref="E25:O25" si="11">E21-E22</f>
        <v>-15133.011154687505</v>
      </c>
      <c r="F25" s="18">
        <f t="shared" si="11"/>
        <v>-52071.256399999998</v>
      </c>
      <c r="G25" s="18">
        <f t="shared" si="11"/>
        <v>0</v>
      </c>
      <c r="H25" s="18">
        <f t="shared" si="11"/>
        <v>0</v>
      </c>
      <c r="I25" s="18">
        <f t="shared" si="11"/>
        <v>0</v>
      </c>
      <c r="J25" s="18">
        <f>J21-J22</f>
        <v>0</v>
      </c>
      <c r="K25" s="18">
        <f t="shared" si="11"/>
        <v>0</v>
      </c>
      <c r="L25" s="18">
        <f t="shared" si="11"/>
        <v>0</v>
      </c>
      <c r="M25" s="18">
        <f t="shared" si="11"/>
        <v>0</v>
      </c>
      <c r="N25" s="18">
        <f t="shared" si="11"/>
        <v>0</v>
      </c>
      <c r="O25" s="18">
        <f t="shared" si="11"/>
        <v>0</v>
      </c>
      <c r="P25" s="18">
        <f>SUM(D25:O25)</f>
        <v>-76905.716591145843</v>
      </c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1:34" s="43" customFormat="1">
      <c r="A26" s="40" t="s">
        <v>25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2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2"/>
      <c r="AD26" s="42"/>
      <c r="AE26" s="42"/>
      <c r="AF26" s="42"/>
      <c r="AG26" s="42"/>
      <c r="AH26" s="42"/>
    </row>
    <row r="27" spans="1:34" s="21" customFormat="1">
      <c r="A27" s="22" t="s">
        <v>26</v>
      </c>
      <c r="B27" s="23"/>
      <c r="C27" s="23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36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36"/>
      <c r="AD27" s="36"/>
      <c r="AE27" s="36"/>
      <c r="AF27" s="36"/>
      <c r="AG27" s="36"/>
      <c r="AH27" s="36"/>
    </row>
    <row r="28" spans="1:34" s="21" customFormat="1">
      <c r="A28" s="26" t="s">
        <v>7</v>
      </c>
      <c r="B28" s="27">
        <f>SUM(B29:B30)</f>
        <v>80636.068934895826</v>
      </c>
      <c r="C28" s="27"/>
      <c r="D28" s="27">
        <f>SUM(D29:D30)</f>
        <v>9701.4490364583362</v>
      </c>
      <c r="E28" s="27">
        <f t="shared" ref="E28:O28" si="12">SUM(E29:E30)</f>
        <v>15133.011154687505</v>
      </c>
      <c r="F28" s="27">
        <f t="shared" si="12"/>
        <v>52801.608743749995</v>
      </c>
      <c r="G28" s="27">
        <f t="shared" si="12"/>
        <v>0</v>
      </c>
      <c r="H28" s="27">
        <f t="shared" si="12"/>
        <v>0</v>
      </c>
      <c r="I28" s="27">
        <f t="shared" si="12"/>
        <v>3000</v>
      </c>
      <c r="J28" s="27">
        <f t="shared" si="12"/>
        <v>0</v>
      </c>
      <c r="K28" s="27">
        <f t="shared" si="12"/>
        <v>0</v>
      </c>
      <c r="L28" s="27">
        <f t="shared" si="12"/>
        <v>0</v>
      </c>
      <c r="M28" s="27">
        <f t="shared" si="12"/>
        <v>0</v>
      </c>
      <c r="N28" s="27">
        <f t="shared" si="12"/>
        <v>0</v>
      </c>
      <c r="O28" s="27">
        <f t="shared" si="12"/>
        <v>0</v>
      </c>
      <c r="P28" s="27">
        <f t="shared" ref="P28:AD28" si="13">SUM(P29:P30)</f>
        <v>80636.068934895826</v>
      </c>
      <c r="Q28" s="27">
        <f t="shared" si="13"/>
        <v>0</v>
      </c>
      <c r="R28" s="27">
        <f t="shared" si="13"/>
        <v>0</v>
      </c>
      <c r="S28" s="27">
        <f t="shared" si="13"/>
        <v>0</v>
      </c>
      <c r="T28" s="27">
        <f t="shared" si="13"/>
        <v>0</v>
      </c>
      <c r="U28" s="27">
        <f t="shared" si="13"/>
        <v>0</v>
      </c>
      <c r="V28" s="27">
        <f t="shared" si="13"/>
        <v>0</v>
      </c>
      <c r="W28" s="27">
        <f t="shared" si="13"/>
        <v>0</v>
      </c>
      <c r="X28" s="27">
        <f t="shared" si="13"/>
        <v>0</v>
      </c>
      <c r="Y28" s="27">
        <f t="shared" si="13"/>
        <v>0</v>
      </c>
      <c r="Z28" s="27">
        <f t="shared" si="13"/>
        <v>0</v>
      </c>
      <c r="AA28" s="27">
        <f t="shared" si="13"/>
        <v>0</v>
      </c>
      <c r="AB28" s="27">
        <f t="shared" si="13"/>
        <v>0</v>
      </c>
      <c r="AC28" s="27">
        <f t="shared" si="13"/>
        <v>0</v>
      </c>
      <c r="AD28" s="27">
        <f t="shared" si="13"/>
        <v>0</v>
      </c>
      <c r="AE28" s="27">
        <f>SUM(AE29:AE30)</f>
        <v>0</v>
      </c>
      <c r="AF28" s="27">
        <f>SUM(AF29:AF30)</f>
        <v>0</v>
      </c>
      <c r="AG28" s="27">
        <f>SUM(AG29:AG30)</f>
        <v>0</v>
      </c>
      <c r="AH28" s="27">
        <f>SUM(AH29:AH30)</f>
        <v>0</v>
      </c>
    </row>
    <row r="29" spans="1:34" ht="12.75" customHeight="1">
      <c r="A29" s="38" t="s">
        <v>61</v>
      </c>
      <c r="B29" s="27">
        <f>P29+AC29+AD29+AE29+AF29+AG29+AH29</f>
        <v>28072.624127213538</v>
      </c>
      <c r="C29" s="27"/>
      <c r="D29" s="29">
        <f>(-D19-D25)*Исх!$C$8</f>
        <v>3395.5071627604175</v>
      </c>
      <c r="E29" s="29">
        <f>(-E19-E25)*Исх!$C$8</f>
        <v>5296.5539041406264</v>
      </c>
      <c r="F29" s="29">
        <f>(-F19-F25)*Исх!$C$8</f>
        <v>18480.563060312496</v>
      </c>
      <c r="G29" s="29"/>
      <c r="H29" s="29"/>
      <c r="I29" s="33">
        <v>900</v>
      </c>
      <c r="J29" s="29">
        <f>Инв!K5*Исх!$C$19</f>
        <v>0</v>
      </c>
      <c r="K29" s="29">
        <f>Инв!L5*Исх!$C$19</f>
        <v>0</v>
      </c>
      <c r="L29" s="29">
        <f>Инв!M5*Исх!$C$19</f>
        <v>0</v>
      </c>
      <c r="M29" s="29">
        <f>Инв!N5*Исх!$C$19</f>
        <v>0</v>
      </c>
      <c r="N29" s="29">
        <f>Инв!O5*Исх!$C$19</f>
        <v>0</v>
      </c>
      <c r="O29" s="29">
        <f>Инв!P5*Исх!$C$19</f>
        <v>0</v>
      </c>
      <c r="P29" s="27">
        <f>SUM(D29:O29)</f>
        <v>28072.624127213538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7">
        <f>SUM(Q29:AB29)</f>
        <v>0</v>
      </c>
      <c r="AD29" s="27"/>
      <c r="AE29" s="27"/>
      <c r="AF29" s="27"/>
      <c r="AG29" s="27"/>
      <c r="AH29" s="27"/>
    </row>
    <row r="30" spans="1:34">
      <c r="A30" s="44" t="s">
        <v>184</v>
      </c>
      <c r="B30" s="27">
        <f>P30+AC30+AD30+AE30+AF30+AG30+AH30</f>
        <v>52563.444807682296</v>
      </c>
      <c r="C30" s="27"/>
      <c r="D30" s="45">
        <f>(-D19-D25)-D29</f>
        <v>6305.9418736979187</v>
      </c>
      <c r="E30" s="45">
        <f>(-E19-E25)-E29</f>
        <v>9836.4572505468786</v>
      </c>
      <c r="F30" s="45">
        <f>(-F19-F25)-F29</f>
        <v>34321.0456834375</v>
      </c>
      <c r="G30" s="45"/>
      <c r="H30" s="45"/>
      <c r="I30" s="45">
        <f>I29/0.3*0.7</f>
        <v>2100</v>
      </c>
      <c r="J30" s="45">
        <f>Инв!K19-'1-Ф3'!J29</f>
        <v>0</v>
      </c>
      <c r="K30" s="45">
        <f>Инв!L19-'1-Ф3'!K29</f>
        <v>0</v>
      </c>
      <c r="L30" s="45">
        <f>Инв!M19-'1-Ф3'!L29</f>
        <v>0</v>
      </c>
      <c r="M30" s="45">
        <f>Инв!N19-'1-Ф3'!M29</f>
        <v>0</v>
      </c>
      <c r="N30" s="45">
        <f>Инв!O19-'1-Ф3'!N29</f>
        <v>0</v>
      </c>
      <c r="O30" s="45">
        <f>Инв!P19-'1-Ф3'!O29</f>
        <v>0</v>
      </c>
      <c r="P30" s="27">
        <f>SUM(D30:O30)</f>
        <v>52563.444807682296</v>
      </c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27">
        <f>SUM(Q30:AB30)</f>
        <v>0</v>
      </c>
      <c r="AD30" s="27"/>
      <c r="AE30" s="27"/>
      <c r="AF30" s="27"/>
      <c r="AG30" s="27"/>
      <c r="AH30" s="27"/>
    </row>
    <row r="31" spans="1:34" s="21" customFormat="1">
      <c r="A31" s="26" t="s">
        <v>8</v>
      </c>
      <c r="B31" s="27">
        <f>SUM(B32:B33)</f>
        <v>54497.364031772508</v>
      </c>
      <c r="C31" s="27"/>
      <c r="D31" s="27">
        <f>SUM(D32:D33)</f>
        <v>0</v>
      </c>
      <c r="E31" s="27">
        <f t="shared" ref="E31:AF31" si="14">SUM(E32:E33)</f>
        <v>0</v>
      </c>
      <c r="F31" s="27">
        <f t="shared" si="14"/>
        <v>0</v>
      </c>
      <c r="G31" s="27">
        <f t="shared" si="14"/>
        <v>0</v>
      </c>
      <c r="H31" s="27">
        <f t="shared" si="14"/>
        <v>0</v>
      </c>
      <c r="I31" s="27">
        <f>SUM(I32:I33)</f>
        <v>0</v>
      </c>
      <c r="J31" s="27">
        <f t="shared" si="14"/>
        <v>0</v>
      </c>
      <c r="K31" s="27">
        <f t="shared" si="14"/>
        <v>0</v>
      </c>
      <c r="L31" s="27">
        <f t="shared" si="14"/>
        <v>0</v>
      </c>
      <c r="M31" s="27">
        <f t="shared" si="14"/>
        <v>726.63152042363345</v>
      </c>
      <c r="N31" s="27">
        <f t="shared" si="14"/>
        <v>726.63152042363345</v>
      </c>
      <c r="O31" s="27">
        <f t="shared" si="14"/>
        <v>726.63152042363345</v>
      </c>
      <c r="P31" s="27">
        <f t="shared" si="14"/>
        <v>2179.8945612709003</v>
      </c>
      <c r="Q31" s="27">
        <f t="shared" si="14"/>
        <v>726.63152042363345</v>
      </c>
      <c r="R31" s="27">
        <f t="shared" si="14"/>
        <v>726.63152042363345</v>
      </c>
      <c r="S31" s="27">
        <f t="shared" si="14"/>
        <v>726.63152042363345</v>
      </c>
      <c r="T31" s="27">
        <f t="shared" si="14"/>
        <v>726.63152042363345</v>
      </c>
      <c r="U31" s="27">
        <f t="shared" si="14"/>
        <v>726.63152042363345</v>
      </c>
      <c r="V31" s="27">
        <f t="shared" si="14"/>
        <v>726.63152042363345</v>
      </c>
      <c r="W31" s="27">
        <f t="shared" si="14"/>
        <v>726.63152042363345</v>
      </c>
      <c r="X31" s="27">
        <f t="shared" si="14"/>
        <v>726.63152042363345</v>
      </c>
      <c r="Y31" s="27">
        <f t="shared" si="14"/>
        <v>726.63152042363345</v>
      </c>
      <c r="Z31" s="27">
        <f t="shared" si="14"/>
        <v>726.63152042363345</v>
      </c>
      <c r="AA31" s="27">
        <f t="shared" si="14"/>
        <v>726.63152042363345</v>
      </c>
      <c r="AB31" s="27">
        <f t="shared" si="14"/>
        <v>726.63152042363345</v>
      </c>
      <c r="AC31" s="27">
        <f t="shared" si="14"/>
        <v>8719.5782450836014</v>
      </c>
      <c r="AD31" s="27">
        <f t="shared" si="14"/>
        <v>8719.5782450836014</v>
      </c>
      <c r="AE31" s="27">
        <f t="shared" si="14"/>
        <v>8719.5782450836014</v>
      </c>
      <c r="AF31" s="27">
        <f t="shared" si="14"/>
        <v>8719.5782450836014</v>
      </c>
      <c r="AG31" s="27">
        <f>SUM(AG32:AG33)</f>
        <v>8719.5782450836014</v>
      </c>
      <c r="AH31" s="27">
        <f>SUM(AH32:AH33)</f>
        <v>8719.5782450836014</v>
      </c>
    </row>
    <row r="32" spans="1:34">
      <c r="A32" s="28" t="s">
        <v>36</v>
      </c>
      <c r="B32" s="27">
        <f>P32+AC32+AD32+AE32+AF32+AG32+AH32</f>
        <v>0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27">
        <f>SUM(D32:O32)</f>
        <v>0</v>
      </c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27">
        <f>SUM(Q32:AB32)</f>
        <v>0</v>
      </c>
      <c r="AD32" s="27"/>
      <c r="AE32" s="27"/>
      <c r="AF32" s="27"/>
      <c r="AG32" s="27"/>
      <c r="AH32" s="27"/>
    </row>
    <row r="33" spans="1:45" ht="13.5" customHeight="1">
      <c r="A33" s="38" t="s">
        <v>183</v>
      </c>
      <c r="B33" s="27">
        <f>P33+AC33+AD33+AE33+AF33+AG33+AH33</f>
        <v>54497.364031772508</v>
      </c>
      <c r="C33" s="27"/>
      <c r="D33" s="34">
        <f>кр!C10</f>
        <v>0</v>
      </c>
      <c r="E33" s="34">
        <f>кр!D10</f>
        <v>0</v>
      </c>
      <c r="F33" s="34">
        <f>кр!E10</f>
        <v>0</v>
      </c>
      <c r="G33" s="34">
        <f>кр!F10</f>
        <v>0</v>
      </c>
      <c r="H33" s="34">
        <f>кр!G10</f>
        <v>0</v>
      </c>
      <c r="I33" s="34">
        <f>кр!H10</f>
        <v>0</v>
      </c>
      <c r="J33" s="34">
        <f>кр!I10</f>
        <v>0</v>
      </c>
      <c r="K33" s="34">
        <f>кр!J10</f>
        <v>0</v>
      </c>
      <c r="L33" s="34">
        <f>кр!K10</f>
        <v>0</v>
      </c>
      <c r="M33" s="34">
        <f>кр!L10</f>
        <v>726.63152042363345</v>
      </c>
      <c r="N33" s="34">
        <f>кр!M10</f>
        <v>726.63152042363345</v>
      </c>
      <c r="O33" s="34">
        <f>кр!N10</f>
        <v>726.63152042363345</v>
      </c>
      <c r="P33" s="27">
        <f>SUM(D33:O33)</f>
        <v>2179.8945612709003</v>
      </c>
      <c r="Q33" s="34">
        <f>кр!P10</f>
        <v>726.63152042363345</v>
      </c>
      <c r="R33" s="34">
        <f>кр!Q10</f>
        <v>726.63152042363345</v>
      </c>
      <c r="S33" s="34">
        <f>кр!R10</f>
        <v>726.63152042363345</v>
      </c>
      <c r="T33" s="34">
        <f>кр!S10</f>
        <v>726.63152042363345</v>
      </c>
      <c r="U33" s="34">
        <f>кр!T10</f>
        <v>726.63152042363345</v>
      </c>
      <c r="V33" s="34">
        <f>кр!U10</f>
        <v>726.63152042363345</v>
      </c>
      <c r="W33" s="34">
        <f>кр!V10</f>
        <v>726.63152042363345</v>
      </c>
      <c r="X33" s="34">
        <f>кр!W10</f>
        <v>726.63152042363345</v>
      </c>
      <c r="Y33" s="34">
        <f>кр!X10</f>
        <v>726.63152042363345</v>
      </c>
      <c r="Z33" s="34">
        <f>кр!Y10</f>
        <v>726.63152042363345</v>
      </c>
      <c r="AA33" s="34">
        <f>кр!Z10</f>
        <v>726.63152042363345</v>
      </c>
      <c r="AB33" s="34">
        <f>кр!AA10</f>
        <v>726.63152042363345</v>
      </c>
      <c r="AC33" s="27">
        <f>SUM(Q33:AB33)</f>
        <v>8719.5782450836014</v>
      </c>
      <c r="AD33" s="34">
        <f>кр!AO10</f>
        <v>8719.5782450836014</v>
      </c>
      <c r="AE33" s="34">
        <f>кр!BB10</f>
        <v>8719.5782450836014</v>
      </c>
      <c r="AF33" s="34">
        <f>кр!BO10</f>
        <v>8719.5782450836014</v>
      </c>
      <c r="AG33" s="34">
        <f>кр!CB10</f>
        <v>8719.5782450836014</v>
      </c>
      <c r="AH33" s="34">
        <f>кр!CO10</f>
        <v>8719.5782450836014</v>
      </c>
    </row>
    <row r="34" spans="1:45" s="21" customFormat="1" ht="25.5">
      <c r="A34" s="39" t="s">
        <v>27</v>
      </c>
      <c r="B34" s="18">
        <f>B28-B31</f>
        <v>26138.704903123318</v>
      </c>
      <c r="C34" s="18"/>
      <c r="D34" s="18">
        <f>D28-D31</f>
        <v>9701.4490364583362</v>
      </c>
      <c r="E34" s="18">
        <f t="shared" ref="E34:AF34" si="15">E28-E31</f>
        <v>15133.011154687505</v>
      </c>
      <c r="F34" s="18">
        <f t="shared" si="15"/>
        <v>52801.608743749995</v>
      </c>
      <c r="G34" s="18">
        <f t="shared" si="15"/>
        <v>0</v>
      </c>
      <c r="H34" s="18">
        <f t="shared" si="15"/>
        <v>0</v>
      </c>
      <c r="I34" s="18">
        <f t="shared" si="15"/>
        <v>3000</v>
      </c>
      <c r="J34" s="18">
        <f t="shared" si="15"/>
        <v>0</v>
      </c>
      <c r="K34" s="18">
        <f t="shared" si="15"/>
        <v>0</v>
      </c>
      <c r="L34" s="18">
        <f t="shared" si="15"/>
        <v>0</v>
      </c>
      <c r="M34" s="18">
        <f t="shared" si="15"/>
        <v>-726.63152042363345</v>
      </c>
      <c r="N34" s="18">
        <f t="shared" si="15"/>
        <v>-726.63152042363345</v>
      </c>
      <c r="O34" s="18">
        <f t="shared" si="15"/>
        <v>-726.63152042363345</v>
      </c>
      <c r="P34" s="18">
        <f t="shared" si="15"/>
        <v>78456.174373624919</v>
      </c>
      <c r="Q34" s="18">
        <f t="shared" si="15"/>
        <v>-726.63152042363345</v>
      </c>
      <c r="R34" s="18">
        <f t="shared" si="15"/>
        <v>-726.63152042363345</v>
      </c>
      <c r="S34" s="18">
        <f t="shared" si="15"/>
        <v>-726.63152042363345</v>
      </c>
      <c r="T34" s="18">
        <f t="shared" si="15"/>
        <v>-726.63152042363345</v>
      </c>
      <c r="U34" s="18">
        <f t="shared" si="15"/>
        <v>-726.63152042363345</v>
      </c>
      <c r="V34" s="18">
        <f t="shared" si="15"/>
        <v>-726.63152042363345</v>
      </c>
      <c r="W34" s="18">
        <f t="shared" si="15"/>
        <v>-726.63152042363345</v>
      </c>
      <c r="X34" s="18">
        <f t="shared" si="15"/>
        <v>-726.63152042363345</v>
      </c>
      <c r="Y34" s="18">
        <f t="shared" si="15"/>
        <v>-726.63152042363345</v>
      </c>
      <c r="Z34" s="18">
        <f t="shared" si="15"/>
        <v>-726.63152042363345</v>
      </c>
      <c r="AA34" s="18">
        <f t="shared" si="15"/>
        <v>-726.63152042363345</v>
      </c>
      <c r="AB34" s="18">
        <f t="shared" si="15"/>
        <v>-726.63152042363345</v>
      </c>
      <c r="AC34" s="18">
        <f t="shared" si="15"/>
        <v>-8719.5782450836014</v>
      </c>
      <c r="AD34" s="18">
        <f t="shared" si="15"/>
        <v>-8719.5782450836014</v>
      </c>
      <c r="AE34" s="18">
        <f t="shared" si="15"/>
        <v>-8719.5782450836014</v>
      </c>
      <c r="AF34" s="18">
        <f t="shared" si="15"/>
        <v>-8719.5782450836014</v>
      </c>
      <c r="AG34" s="18">
        <f>AG28-AG31</f>
        <v>-8719.5782450836014</v>
      </c>
      <c r="AH34" s="18">
        <f>AH28-AH31</f>
        <v>-8719.5782450836014</v>
      </c>
    </row>
    <row r="35" spans="1:45" s="48" customFormat="1">
      <c r="A35" s="46" t="s">
        <v>28</v>
      </c>
      <c r="B35" s="47">
        <f>B19+B25+B34</f>
        <v>44973.503563867591</v>
      </c>
      <c r="C35" s="27"/>
      <c r="D35" s="47">
        <f>D19+D25+D34</f>
        <v>0</v>
      </c>
      <c r="E35" s="47">
        <f t="shared" ref="E35:AF35" si="16">E19+E25+E34</f>
        <v>0</v>
      </c>
      <c r="F35" s="47">
        <f t="shared" si="16"/>
        <v>0</v>
      </c>
      <c r="G35" s="47">
        <f t="shared" si="16"/>
        <v>30.264918000100579</v>
      </c>
      <c r="H35" s="47">
        <f t="shared" si="16"/>
        <v>30.264918000100579</v>
      </c>
      <c r="I35" s="47">
        <f t="shared" si="16"/>
        <v>3030.2649180001008</v>
      </c>
      <c r="J35" s="47">
        <f t="shared" si="16"/>
        <v>30.264918000100579</v>
      </c>
      <c r="K35" s="47">
        <f t="shared" si="16"/>
        <v>30.264918000100579</v>
      </c>
      <c r="L35" s="47">
        <f t="shared" si="16"/>
        <v>30.264918000100579</v>
      </c>
      <c r="M35" s="47">
        <f t="shared" si="16"/>
        <v>-1014.2678926088727</v>
      </c>
      <c r="N35" s="47">
        <f t="shared" si="16"/>
        <v>-1010.0292087397345</v>
      </c>
      <c r="O35" s="47">
        <f t="shared" si="16"/>
        <v>-1005.7905248705968</v>
      </c>
      <c r="P35" s="47">
        <f t="shared" si="16"/>
        <v>151.50188178136887</v>
      </c>
      <c r="Q35" s="47">
        <f t="shared" si="16"/>
        <v>35.67683028348074</v>
      </c>
      <c r="R35" s="47">
        <f t="shared" si="16"/>
        <v>39.915514152618471</v>
      </c>
      <c r="S35" s="47">
        <f t="shared" si="16"/>
        <v>44.154198021756656</v>
      </c>
      <c r="T35" s="47">
        <f t="shared" si="16"/>
        <v>48.392881890894387</v>
      </c>
      <c r="U35" s="47">
        <f t="shared" si="16"/>
        <v>52.631565760032117</v>
      </c>
      <c r="V35" s="47">
        <f t="shared" si="16"/>
        <v>56.870249629169848</v>
      </c>
      <c r="W35" s="47">
        <f t="shared" si="16"/>
        <v>61.108933498308033</v>
      </c>
      <c r="X35" s="47">
        <f t="shared" si="16"/>
        <v>65.347617367445764</v>
      </c>
      <c r="Y35" s="47">
        <f t="shared" si="16"/>
        <v>69.586301236583495</v>
      </c>
      <c r="Z35" s="47">
        <f t="shared" si="16"/>
        <v>73.824985105721225</v>
      </c>
      <c r="AA35" s="47">
        <f t="shared" si="16"/>
        <v>78.063668974859411</v>
      </c>
      <c r="AB35" s="47">
        <f t="shared" si="16"/>
        <v>82.302352843997141</v>
      </c>
      <c r="AC35" s="47">
        <f>AC19+AC25+AC34</f>
        <v>707.87509876485638</v>
      </c>
      <c r="AD35" s="47">
        <f t="shared" si="16"/>
        <v>3596.0970172011075</v>
      </c>
      <c r="AE35" s="47">
        <f t="shared" si="16"/>
        <v>7385.367871439561</v>
      </c>
      <c r="AF35" s="47">
        <f t="shared" si="16"/>
        <v>4849.8585585009023</v>
      </c>
      <c r="AG35" s="47">
        <f>AG19+AG25+AG34</f>
        <v>13856.546262630131</v>
      </c>
      <c r="AH35" s="47">
        <f>AH19+AH25+AH34</f>
        <v>14426.256873549635</v>
      </c>
    </row>
    <row r="36" spans="1:45" s="21" customFormat="1">
      <c r="A36" s="49" t="s">
        <v>60</v>
      </c>
      <c r="B36" s="27">
        <f>B7+B19+B25+B34</f>
        <v>44973.503563867591</v>
      </c>
      <c r="C36" s="50"/>
      <c r="D36" s="51">
        <f t="shared" ref="D36:O36" si="17">D7+D19+D25+D34</f>
        <v>0</v>
      </c>
      <c r="E36" s="51">
        <f t="shared" si="17"/>
        <v>0</v>
      </c>
      <c r="F36" s="51">
        <f t="shared" si="17"/>
        <v>0</v>
      </c>
      <c r="G36" s="51">
        <f t="shared" si="17"/>
        <v>30.264918000100579</v>
      </c>
      <c r="H36" s="51">
        <f t="shared" si="17"/>
        <v>60.529836000201158</v>
      </c>
      <c r="I36" s="51">
        <f t="shared" si="17"/>
        <v>3090.7947540003015</v>
      </c>
      <c r="J36" s="51">
        <f t="shared" si="17"/>
        <v>3121.0596720004023</v>
      </c>
      <c r="K36" s="51">
        <f t="shared" si="17"/>
        <v>3151.3245900005031</v>
      </c>
      <c r="L36" s="51">
        <f t="shared" si="17"/>
        <v>3181.5895080006039</v>
      </c>
      <c r="M36" s="51">
        <f t="shared" si="17"/>
        <v>2167.321615391731</v>
      </c>
      <c r="N36" s="51">
        <f t="shared" si="17"/>
        <v>1157.2924066519965</v>
      </c>
      <c r="O36" s="51">
        <f t="shared" si="17"/>
        <v>151.50188178139979</v>
      </c>
      <c r="P36" s="52">
        <f>O36</f>
        <v>151.50188178139979</v>
      </c>
      <c r="Q36" s="51">
        <f>P36+Q19+Q25+Q34</f>
        <v>187.17871206488053</v>
      </c>
      <c r="R36" s="51">
        <f t="shared" ref="R36:AB36" si="18">Q36+R19+R25+R34</f>
        <v>227.094226217499</v>
      </c>
      <c r="S36" s="51">
        <f t="shared" si="18"/>
        <v>271.24842423925566</v>
      </c>
      <c r="T36" s="51">
        <f t="shared" si="18"/>
        <v>319.64130613015004</v>
      </c>
      <c r="U36" s="51">
        <f t="shared" si="18"/>
        <v>372.27287189018216</v>
      </c>
      <c r="V36" s="51">
        <f t="shared" si="18"/>
        <v>429.14312151935201</v>
      </c>
      <c r="W36" s="51">
        <f t="shared" si="18"/>
        <v>490.25205501766004</v>
      </c>
      <c r="X36" s="51">
        <f t="shared" si="18"/>
        <v>555.59967238510581</v>
      </c>
      <c r="Y36" s="51">
        <f t="shared" si="18"/>
        <v>625.1859736216893</v>
      </c>
      <c r="Z36" s="51">
        <f t="shared" si="18"/>
        <v>699.01095872741053</v>
      </c>
      <c r="AA36" s="51">
        <f t="shared" si="18"/>
        <v>777.07462770226994</v>
      </c>
      <c r="AB36" s="51">
        <f t="shared" si="18"/>
        <v>859.37698054626708</v>
      </c>
      <c r="AC36" s="51">
        <f>AB36</f>
        <v>859.37698054626708</v>
      </c>
      <c r="AD36" s="51">
        <f>AC36+AD19+AD25+AD34</f>
        <v>4455.4739977473746</v>
      </c>
      <c r="AE36" s="51">
        <f>AD36+AE19+AE25+AE34</f>
        <v>11840.841869186934</v>
      </c>
      <c r="AF36" s="51">
        <f>AE36+AF19+AF25+AF34</f>
        <v>16690.700427687836</v>
      </c>
      <c r="AG36" s="51">
        <f>AF36+AG19+AG25+AG34</f>
        <v>30547.24669031797</v>
      </c>
      <c r="AH36" s="51">
        <f>AG36+AH19+AH25+AH34</f>
        <v>44973.503563867605</v>
      </c>
      <c r="AI36" s="7">
        <v>2012</v>
      </c>
      <c r="AJ36" s="7">
        <f t="shared" ref="AJ36:AM37" si="19">AI36+1</f>
        <v>2013</v>
      </c>
      <c r="AK36" s="7">
        <f t="shared" si="19"/>
        <v>2014</v>
      </c>
      <c r="AL36" s="7">
        <f t="shared" si="19"/>
        <v>2015</v>
      </c>
      <c r="AM36" s="7">
        <f t="shared" si="19"/>
        <v>2016</v>
      </c>
      <c r="AN36" s="7">
        <f t="shared" ref="AN36:AS37" si="20">AM36+1</f>
        <v>2017</v>
      </c>
      <c r="AO36" s="7">
        <f t="shared" si="20"/>
        <v>2018</v>
      </c>
      <c r="AP36" s="7">
        <f t="shared" si="20"/>
        <v>2019</v>
      </c>
      <c r="AQ36" s="7">
        <f t="shared" si="20"/>
        <v>2020</v>
      </c>
      <c r="AR36" s="7">
        <f t="shared" si="20"/>
        <v>2021</v>
      </c>
      <c r="AS36" s="7">
        <f t="shared" si="20"/>
        <v>2022</v>
      </c>
    </row>
    <row r="37" spans="1:45">
      <c r="A37" s="53"/>
      <c r="B37" s="54">
        <f>AH36</f>
        <v>44973.503563867605</v>
      </c>
      <c r="C37" s="55"/>
      <c r="D37" s="56">
        <f t="shared" ref="D37:AH37" si="21">D7+D35-D36</f>
        <v>0</v>
      </c>
      <c r="E37" s="56">
        <f t="shared" si="21"/>
        <v>0</v>
      </c>
      <c r="F37" s="56">
        <f t="shared" si="21"/>
        <v>0</v>
      </c>
      <c r="G37" s="56">
        <f t="shared" si="21"/>
        <v>0</v>
      </c>
      <c r="H37" s="56">
        <f t="shared" si="21"/>
        <v>0</v>
      </c>
      <c r="I37" s="56">
        <f t="shared" si="21"/>
        <v>0</v>
      </c>
      <c r="J37" s="56">
        <f t="shared" si="21"/>
        <v>0</v>
      </c>
      <c r="K37" s="56">
        <f t="shared" si="21"/>
        <v>0</v>
      </c>
      <c r="L37" s="56">
        <f t="shared" si="21"/>
        <v>0</v>
      </c>
      <c r="M37" s="56">
        <f t="shared" si="21"/>
        <v>0</v>
      </c>
      <c r="N37" s="56">
        <f t="shared" si="21"/>
        <v>0</v>
      </c>
      <c r="O37" s="56">
        <f t="shared" si="21"/>
        <v>0</v>
      </c>
      <c r="P37" s="56"/>
      <c r="Q37" s="56">
        <f t="shared" si="21"/>
        <v>0</v>
      </c>
      <c r="R37" s="56">
        <f t="shared" si="21"/>
        <v>0</v>
      </c>
      <c r="S37" s="56">
        <f t="shared" si="21"/>
        <v>0</v>
      </c>
      <c r="T37" s="56">
        <f t="shared" si="21"/>
        <v>0</v>
      </c>
      <c r="U37" s="56">
        <f t="shared" si="21"/>
        <v>0</v>
      </c>
      <c r="V37" s="56">
        <f t="shared" si="21"/>
        <v>0</v>
      </c>
      <c r="W37" s="56">
        <f t="shared" si="21"/>
        <v>0</v>
      </c>
      <c r="X37" s="56">
        <f t="shared" si="21"/>
        <v>0</v>
      </c>
      <c r="Y37" s="56">
        <f t="shared" si="21"/>
        <v>0</v>
      </c>
      <c r="Z37" s="56">
        <f t="shared" si="21"/>
        <v>0</v>
      </c>
      <c r="AA37" s="56">
        <f t="shared" si="21"/>
        <v>0</v>
      </c>
      <c r="AB37" s="56">
        <f t="shared" si="21"/>
        <v>0</v>
      </c>
      <c r="AC37" s="56"/>
      <c r="AD37" s="56">
        <f t="shared" si="21"/>
        <v>0</v>
      </c>
      <c r="AE37" s="56">
        <f t="shared" si="21"/>
        <v>0</v>
      </c>
      <c r="AF37" s="56">
        <f t="shared" si="21"/>
        <v>0</v>
      </c>
      <c r="AG37" s="56">
        <f t="shared" si="21"/>
        <v>0</v>
      </c>
      <c r="AH37" s="56">
        <f t="shared" si="21"/>
        <v>0</v>
      </c>
      <c r="AI37" s="63">
        <v>1</v>
      </c>
      <c r="AJ37" s="63">
        <f t="shared" si="19"/>
        <v>2</v>
      </c>
      <c r="AK37" s="63">
        <f t="shared" si="19"/>
        <v>3</v>
      </c>
      <c r="AL37" s="63">
        <f t="shared" si="19"/>
        <v>4</v>
      </c>
      <c r="AM37" s="63">
        <f t="shared" si="19"/>
        <v>5</v>
      </c>
      <c r="AN37" s="63">
        <f t="shared" si="20"/>
        <v>6</v>
      </c>
      <c r="AO37" s="63">
        <f t="shared" si="20"/>
        <v>7</v>
      </c>
      <c r="AP37" s="63">
        <f t="shared" si="20"/>
        <v>8</v>
      </c>
      <c r="AQ37" s="63">
        <f t="shared" si="20"/>
        <v>9</v>
      </c>
      <c r="AR37" s="63">
        <f t="shared" si="20"/>
        <v>10</v>
      </c>
      <c r="AS37" s="63">
        <f t="shared" si="20"/>
        <v>11</v>
      </c>
    </row>
    <row r="38" spans="1:45">
      <c r="A38" s="53" t="s">
        <v>68</v>
      </c>
      <c r="B38" s="64">
        <f>B36-B37</f>
        <v>0</v>
      </c>
      <c r="C38" s="55"/>
      <c r="Q38" s="58"/>
      <c r="AI38" s="58">
        <f>P35</f>
        <v>151.50188178136887</v>
      </c>
      <c r="AJ38" s="58">
        <f t="shared" ref="AJ38:AO38" si="22">AC35</f>
        <v>707.87509876485638</v>
      </c>
      <c r="AK38" s="58">
        <f t="shared" si="22"/>
        <v>3596.0970172011075</v>
      </c>
      <c r="AL38" s="58">
        <f t="shared" si="22"/>
        <v>7385.367871439561</v>
      </c>
      <c r="AM38" s="58">
        <f t="shared" si="22"/>
        <v>4849.8585585009023</v>
      </c>
      <c r="AN38" s="58">
        <f t="shared" si="22"/>
        <v>13856.546262630131</v>
      </c>
      <c r="AO38" s="58">
        <f t="shared" si="22"/>
        <v>14426.256873549635</v>
      </c>
      <c r="AP38" s="58">
        <f>AO38+AH33+AH16</f>
        <v>23476.452460425993</v>
      </c>
      <c r="AQ38" s="58">
        <f>AP38</f>
        <v>23476.452460425993</v>
      </c>
      <c r="AR38" s="58">
        <f>AQ38</f>
        <v>23476.452460425993</v>
      </c>
      <c r="AS38" s="58">
        <f>AR38</f>
        <v>23476.452460425993</v>
      </c>
    </row>
    <row r="39" spans="1:45">
      <c r="A39" s="53" t="s">
        <v>69</v>
      </c>
      <c r="B39" s="55"/>
      <c r="C39" s="55"/>
      <c r="AI39" s="58">
        <f>AI38+P33+P32+P16</f>
        <v>3272.3842620008745</v>
      </c>
      <c r="AJ39" s="58">
        <f t="shared" ref="AJ39:AS39" si="23">AJ38+AC33+AC32+AC16</f>
        <v>12809.923071420473</v>
      </c>
      <c r="AK39" s="58">
        <f t="shared" si="23"/>
        <v>15087.774512700875</v>
      </c>
      <c r="AL39" s="58">
        <f t="shared" si="23"/>
        <v>18266.674889783477</v>
      </c>
      <c r="AM39" s="58">
        <f t="shared" si="23"/>
        <v>15120.795099688967</v>
      </c>
      <c r="AN39" s="58">
        <f t="shared" si="23"/>
        <v>23517.11232666234</v>
      </c>
      <c r="AO39" s="58">
        <f t="shared" si="23"/>
        <v>23476.452460425993</v>
      </c>
      <c r="AP39" s="58">
        <f t="shared" si="23"/>
        <v>23476.452460425993</v>
      </c>
      <c r="AQ39" s="58">
        <f t="shared" si="23"/>
        <v>23476.452460425993</v>
      </c>
      <c r="AR39" s="58">
        <f t="shared" si="23"/>
        <v>23476.452460425993</v>
      </c>
      <c r="AS39" s="58">
        <f t="shared" si="23"/>
        <v>23476.452460425993</v>
      </c>
    </row>
    <row r="40" spans="1:45">
      <c r="A40" s="53" t="s">
        <v>70</v>
      </c>
      <c r="B40" s="55"/>
      <c r="C40" s="55"/>
      <c r="V40" s="58"/>
      <c r="AI40" s="58">
        <f>P28</f>
        <v>80636.068934895826</v>
      </c>
      <c r="AJ40" s="58">
        <f>AC28</f>
        <v>0</v>
      </c>
      <c r="AK40" s="58"/>
      <c r="AL40" s="58"/>
      <c r="AM40" s="58"/>
      <c r="AN40" s="58"/>
      <c r="AO40" s="58"/>
      <c r="AP40" s="58"/>
      <c r="AQ40" s="58"/>
      <c r="AR40" s="58"/>
      <c r="AS40" s="58"/>
    </row>
    <row r="41" spans="1:45">
      <c r="A41" s="65" t="s">
        <v>71</v>
      </c>
      <c r="B41" s="55"/>
      <c r="C41" s="55"/>
      <c r="AI41" s="66">
        <f t="shared" ref="AI41:AO41" si="24">AI39-AI40</f>
        <v>-77363.684672894946</v>
      </c>
      <c r="AJ41" s="66">
        <f t="shared" si="24"/>
        <v>12809.923071420473</v>
      </c>
      <c r="AK41" s="66">
        <f t="shared" si="24"/>
        <v>15087.774512700875</v>
      </c>
      <c r="AL41" s="66">
        <f t="shared" si="24"/>
        <v>18266.674889783477</v>
      </c>
      <c r="AM41" s="66">
        <f t="shared" si="24"/>
        <v>15120.795099688967</v>
      </c>
      <c r="AN41" s="66">
        <f t="shared" si="24"/>
        <v>23517.11232666234</v>
      </c>
      <c r="AO41" s="66">
        <f t="shared" si="24"/>
        <v>23476.452460425993</v>
      </c>
      <c r="AP41" s="66">
        <f>AP39-AP40</f>
        <v>23476.452460425993</v>
      </c>
      <c r="AQ41" s="66">
        <f>AQ39-AQ40</f>
        <v>23476.452460425993</v>
      </c>
      <c r="AR41" s="66">
        <f>AR39-AR40</f>
        <v>23476.452460425993</v>
      </c>
      <c r="AS41" s="66">
        <f>AS39-AS40</f>
        <v>23476.452460425993</v>
      </c>
    </row>
    <row r="42" spans="1:45">
      <c r="A42" s="67" t="s">
        <v>72</v>
      </c>
      <c r="B42" s="55"/>
      <c r="C42" s="55"/>
      <c r="AI42" s="68">
        <f>AI41/(1+Исх!$C$7)^'1-Ф3'!AI37</f>
        <v>-69963.631381657076</v>
      </c>
      <c r="AJ42" s="68">
        <f>AJ41/(1+Исх!$C$7)^'1-Ф3'!AJ37</f>
        <v>10476.516837240604</v>
      </c>
      <c r="AK42" s="68">
        <f>AK41/(1+Исх!$C$7)^'1-Ф3'!AK37</f>
        <v>11159.141264282565</v>
      </c>
      <c r="AL42" s="68">
        <f>AL41/(1+Исх!$C$7)^'1-Ф3'!AL37</f>
        <v>12218.004664021706</v>
      </c>
      <c r="AM42" s="68">
        <f>AM41/(1+Исх!$C$7)^'1-Ф3'!AM37</f>
        <v>9146.4088876745172</v>
      </c>
      <c r="AN42" s="68">
        <f>AN41/(1+Исх!$C$7)^'1-Ф3'!AN37</f>
        <v>12864.567039434092</v>
      </c>
      <c r="AO42" s="68">
        <f>AO41/(1+Исх!$C$7)^'1-Ф3'!AO37</f>
        <v>11613.920499682317</v>
      </c>
      <c r="AP42" s="68">
        <f>AP41/(1+Исх!$C$7)^'1-Ф3'!AP37</f>
        <v>10503.01644978822</v>
      </c>
      <c r="AQ42" s="68">
        <f>AQ41/(1+Исх!$C$7)^'1-Ф3'!AQ37</f>
        <v>9498.3734861573557</v>
      </c>
      <c r="AR42" s="68">
        <f>AR41/(1+Исх!$C$7)^'1-Ф3'!AR37</f>
        <v>8589.82743803626</v>
      </c>
      <c r="AS42" s="68">
        <f>AS41/(1+Исх!$C$7)^'1-Ф3'!AS37</f>
        <v>7768.1863660944509</v>
      </c>
    </row>
    <row r="43" spans="1:45">
      <c r="A43" s="65" t="s">
        <v>73</v>
      </c>
      <c r="B43" s="55"/>
      <c r="C43" s="55"/>
      <c r="AI43" s="66">
        <f>AI41</f>
        <v>-77363.684672894946</v>
      </c>
      <c r="AJ43" s="66">
        <f t="shared" ref="AJ43:AM44" si="25">AI43+AJ41</f>
        <v>-64553.761601474471</v>
      </c>
      <c r="AK43" s="66">
        <f t="shared" si="25"/>
        <v>-49465.987088773596</v>
      </c>
      <c r="AL43" s="66">
        <f t="shared" si="25"/>
        <v>-31199.312198990119</v>
      </c>
      <c r="AM43" s="66">
        <f t="shared" si="25"/>
        <v>-16078.517099301152</v>
      </c>
      <c r="AN43" s="66">
        <f t="shared" ref="AN43:AS44" si="26">AM43+AN41</f>
        <v>7438.5952273611874</v>
      </c>
      <c r="AO43" s="66">
        <f t="shared" si="26"/>
        <v>30915.047687787181</v>
      </c>
      <c r="AP43" s="66">
        <f t="shared" si="26"/>
        <v>54391.500148213177</v>
      </c>
      <c r="AQ43" s="66">
        <f t="shared" si="26"/>
        <v>77867.952608639171</v>
      </c>
      <c r="AR43" s="66">
        <f t="shared" si="26"/>
        <v>101344.40506906516</v>
      </c>
      <c r="AS43" s="66">
        <f t="shared" si="26"/>
        <v>124820.85752949116</v>
      </c>
    </row>
    <row r="44" spans="1:45">
      <c r="A44" s="67" t="s">
        <v>74</v>
      </c>
      <c r="B44" s="55"/>
      <c r="C44" s="55"/>
      <c r="AI44" s="68">
        <f>AI42</f>
        <v>-69963.631381657076</v>
      </c>
      <c r="AJ44" s="68">
        <f t="shared" si="25"/>
        <v>-59487.114544416472</v>
      </c>
      <c r="AK44" s="68">
        <f t="shared" si="25"/>
        <v>-48327.973280133905</v>
      </c>
      <c r="AL44" s="68">
        <f t="shared" si="25"/>
        <v>-36109.968616112201</v>
      </c>
      <c r="AM44" s="68">
        <f t="shared" si="25"/>
        <v>-26963.559728437685</v>
      </c>
      <c r="AN44" s="68">
        <f t="shared" si="26"/>
        <v>-14098.992689003593</v>
      </c>
      <c r="AO44" s="68">
        <f t="shared" si="26"/>
        <v>-2485.0721893212758</v>
      </c>
      <c r="AP44" s="68">
        <f t="shared" si="26"/>
        <v>8017.9442604669439</v>
      </c>
      <c r="AQ44" s="68">
        <f t="shared" si="26"/>
        <v>17516.3177466243</v>
      </c>
      <c r="AR44" s="68">
        <f t="shared" si="26"/>
        <v>26106.14518466056</v>
      </c>
      <c r="AS44" s="68">
        <f t="shared" si="26"/>
        <v>33874.331550755014</v>
      </c>
    </row>
    <row r="45" spans="1:45">
      <c r="A45" s="53" t="s">
        <v>75</v>
      </c>
      <c r="B45" s="55"/>
      <c r="C45" s="55"/>
      <c r="AI45" s="58">
        <f>NPV(Исх!$C$7,'1-Ф3'!$AI39:AI39)</f>
        <v>2959.3715347684192</v>
      </c>
      <c r="AJ45" s="58">
        <f>NPV(Исх!$C$7,'1-Ф3'!$AI39:AJ39)</f>
        <v>13435.888372009023</v>
      </c>
      <c r="AK45" s="58">
        <f>NPV(Исх!$C$7,'1-Ф3'!$AI39:AK39)</f>
        <v>24595.029636291591</v>
      </c>
      <c r="AL45" s="58">
        <f>NPV(Исх!$C$7,'1-Ф3'!$AI39:AL39)</f>
        <v>36813.034300313295</v>
      </c>
      <c r="AM45" s="58">
        <f>NPV(Исх!$C$7,'1-Ф3'!$AI39:AM39)</f>
        <v>45959.44318798781</v>
      </c>
      <c r="AN45" s="58">
        <f>NPV(Исх!$C$7,'1-Ф3'!$AI39:AN39)</f>
        <v>58824.010227421903</v>
      </c>
      <c r="AO45" s="58">
        <f>NPV(Исх!$C$7,'1-Ф3'!$AI39:AO39)</f>
        <v>70437.93072710422</v>
      </c>
      <c r="AP45" s="58">
        <f>NPV(Исх!$C$7,'1-Ф3'!$AI39:AP39)</f>
        <v>80940.947176892441</v>
      </c>
      <c r="AQ45" s="58">
        <f>NPV(Исх!$C$7,'1-Ф3'!$AI39:AQ39)</f>
        <v>90439.320663049803</v>
      </c>
      <c r="AR45" s="58">
        <f>NPV(Исх!$C$7,'1-Ф3'!$AI39:AR39)</f>
        <v>99029.148101086073</v>
      </c>
      <c r="AS45" s="58">
        <f>NPV(Исх!$C$7,'1-Ф3'!$AI39:AS39)</f>
        <v>106797.33446718052</v>
      </c>
    </row>
    <row r="46" spans="1:45">
      <c r="A46" s="53" t="s">
        <v>76</v>
      </c>
      <c r="B46" s="55"/>
      <c r="C46" s="55"/>
      <c r="AI46" s="58">
        <f>NPV(Исх!$C$7,'1-Ф3'!$AI40:AI40)</f>
        <v>72923.00291642551</v>
      </c>
      <c r="AJ46" s="58">
        <f>NPV(Исх!$C$7,'1-Ф3'!$AI40:AJ40)</f>
        <v>72923.00291642551</v>
      </c>
      <c r="AK46" s="58">
        <f>NPV(Исх!$C$7,'1-Ф3'!$AI40:AK40)</f>
        <v>72923.00291642551</v>
      </c>
      <c r="AL46" s="58">
        <f>NPV(Исх!$C$7,'1-Ф3'!$AI40:AL40)</f>
        <v>72923.00291642551</v>
      </c>
      <c r="AM46" s="58">
        <f>NPV(Исх!$C$7,'1-Ф3'!$AI40:AM40)</f>
        <v>72923.00291642551</v>
      </c>
      <c r="AN46" s="58">
        <f>NPV(Исх!$C$7,'1-Ф3'!$AI40:AN40)</f>
        <v>72923.00291642551</v>
      </c>
      <c r="AO46" s="58">
        <f>NPV(Исх!$C$7,'1-Ф3'!$AI40:AO40)</f>
        <v>72923.00291642551</v>
      </c>
      <c r="AP46" s="58">
        <f>NPV(Исх!$C$7,'1-Ф3'!$AI40:AP40)</f>
        <v>72923.00291642551</v>
      </c>
      <c r="AQ46" s="58">
        <f>NPV(Исх!$C$7,'1-Ф3'!$AI40:AQ40)</f>
        <v>72923.00291642551</v>
      </c>
      <c r="AR46" s="58">
        <f>NPV(Исх!$C$7,'1-Ф3'!$AI40:AR40)</f>
        <v>72923.00291642551</v>
      </c>
      <c r="AS46" s="58">
        <f>NPV(Исх!$C$7,'1-Ф3'!$AI40:AS40)</f>
        <v>72923.00291642551</v>
      </c>
    </row>
    <row r="47" spans="1:45">
      <c r="A47" s="53" t="s">
        <v>77</v>
      </c>
      <c r="B47" s="55"/>
      <c r="C47" s="55"/>
      <c r="AI47" s="58">
        <f t="shared" ref="AI47:AO47" si="27">AI45-AI46</f>
        <v>-69963.631381657091</v>
      </c>
      <c r="AJ47" s="58">
        <f t="shared" si="27"/>
        <v>-59487.114544416487</v>
      </c>
      <c r="AK47" s="58">
        <f t="shared" si="27"/>
        <v>-48327.97328013392</v>
      </c>
      <c r="AL47" s="58">
        <f t="shared" si="27"/>
        <v>-36109.968616112215</v>
      </c>
      <c r="AM47" s="58">
        <f t="shared" si="27"/>
        <v>-26963.5597284377</v>
      </c>
      <c r="AN47" s="58">
        <f t="shared" si="27"/>
        <v>-14098.992689003608</v>
      </c>
      <c r="AO47" s="58">
        <f t="shared" si="27"/>
        <v>-2485.0721893212904</v>
      </c>
      <c r="AP47" s="58">
        <f>AP45-AP46</f>
        <v>8017.9442604669312</v>
      </c>
      <c r="AQ47" s="58">
        <f>AQ45-AQ46</f>
        <v>17516.317746624292</v>
      </c>
      <c r="AR47" s="58">
        <f>AR45-AR46</f>
        <v>26106.145184660563</v>
      </c>
      <c r="AS47" s="58">
        <f>AS45-AS46</f>
        <v>33874.331550755014</v>
      </c>
    </row>
    <row r="48" spans="1:45">
      <c r="A48" s="53" t="s">
        <v>78</v>
      </c>
      <c r="B48" s="55"/>
      <c r="C48" s="55"/>
      <c r="AI48" s="69">
        <f t="shared" ref="AI48:AO48" si="28">AI45/AI46</f>
        <v>4.0582140290630252E-2</v>
      </c>
      <c r="AJ48" s="69">
        <f t="shared" si="28"/>
        <v>0.18424760136945298</v>
      </c>
      <c r="AK48" s="69">
        <f t="shared" si="28"/>
        <v>0.337273955441455</v>
      </c>
      <c r="AL48" s="69">
        <f t="shared" si="28"/>
        <v>0.50482060293791553</v>
      </c>
      <c r="AM48" s="69">
        <f t="shared" si="28"/>
        <v>0.63024616856028692</v>
      </c>
      <c r="AN48" s="69">
        <f t="shared" si="28"/>
        <v>0.8066591867430094</v>
      </c>
      <c r="AO48" s="69">
        <f t="shared" si="28"/>
        <v>0.96592197125824142</v>
      </c>
      <c r="AP48" s="69">
        <f>AP45/AP46</f>
        <v>1.1099508240171625</v>
      </c>
      <c r="AQ48" s="69">
        <f>AQ45/AQ46</f>
        <v>1.2402029132933421</v>
      </c>
      <c r="AR48" s="69">
        <f>AR45/AR46</f>
        <v>1.357996025130505</v>
      </c>
      <c r="AS48" s="69">
        <f>AS45/AS46</f>
        <v>1.4645218956435075</v>
      </c>
    </row>
    <row r="49" spans="1:45">
      <c r="A49" s="53" t="s">
        <v>79</v>
      </c>
      <c r="B49" s="55"/>
      <c r="C49" s="55"/>
      <c r="AG49" s="70" t="str">
        <f>IF(ISERROR(IRR($AI41:AI$41))," ",IF(IRR($AI41:AI$41)&lt;0," ",IRR($AI41:AI$41)))</f>
        <v xml:space="preserve"> </v>
      </c>
      <c r="AH49" s="70" t="str">
        <f>IF(ISERROR(IRR($AI41:AJ$41))," ",IF(IRR($AI41:AJ$41)&lt;0," ",IRR($AI41:AJ$41)))</f>
        <v xml:space="preserve"> </v>
      </c>
      <c r="AI49" s="70" t="str">
        <f>IF(ISERROR(IRR($AI41:AI$41))," ",IF(IRR($AI41:AI$41)&lt;0," ",IRR($AI41:AI$41)))</f>
        <v xml:space="preserve"> </v>
      </c>
      <c r="AJ49" s="70" t="str">
        <f>IF(ISERROR(IRR($AI41:AJ$41))," ",IF(IRR($AI41:AJ$41)&lt;0," ",IRR($AI41:AJ$41)))</f>
        <v xml:space="preserve"> </v>
      </c>
      <c r="AK49" s="70" t="str">
        <f>IF(ISERROR(IRR($AI41:AK$41))," ",IF(IRR($AI41:AK$41)&lt;0," ",IRR($AI41:AK$41)))</f>
        <v xml:space="preserve"> </v>
      </c>
      <c r="AL49" s="70" t="str">
        <f>IF(ISERROR(IRR($AI41:AL$41))," ",IF(IRR($AI41:AL$41)&lt;0," ",IRR($AI41:AL$41)))</f>
        <v xml:space="preserve"> </v>
      </c>
      <c r="AM49" s="70" t="str">
        <f>IF(ISERROR(IRR($AI41:AM$41))," ",IF(IRR($AI41:AM$41)&lt;0," ",IRR($AI41:AM$41)))</f>
        <v xml:space="preserve"> </v>
      </c>
      <c r="AN49" s="70">
        <f>IF(ISERROR(IRR($AI41:AN$41))," ",IF(IRR($AI41:AN$41)&lt;0," ",IRR($AI41:AN$41)))</f>
        <v>2.8882152053566919E-2</v>
      </c>
      <c r="AO49" s="70">
        <f>IF(ISERROR(IRR($AI41:AO$41))," ",IF(IRR($AI41:AO$41)&lt;0," ",IRR($AI41:AO$41)))</f>
        <v>9.4631087659252058E-2</v>
      </c>
      <c r="AP49" s="70">
        <f>IF(ISERROR(IRR($AI41:AP$41))," ",IF(IRR($AI41:AP$41)&lt;0," ",IRR($AI41:AP$41)))</f>
        <v>0.13642616182394637</v>
      </c>
      <c r="AQ49" s="70">
        <f>IF(ISERROR(IRR($AI41:AQ$41))," ",IF(IRR($AI41:AQ$41)&lt;0," ",IRR($AI41:AQ$41)))</f>
        <v>0.1644167245806164</v>
      </c>
      <c r="AR49" s="70">
        <f>IF(ISERROR(IRR($AI41:AR$41))," ",IF(IRR($AI41:AR$41)&lt;0," ",IRR($AI41:AR$41)))</f>
        <v>0.18385102368030504</v>
      </c>
      <c r="AS49" s="70">
        <f>IF(ISERROR(IRR($AI41:AS$41))," ",IF(IRR($AI41:AS$41)&lt;0," ",IRR($AI41:AS$41)))</f>
        <v>0.19771374906740521</v>
      </c>
    </row>
    <row r="50" spans="1:45">
      <c r="A50" s="71" t="s">
        <v>39</v>
      </c>
      <c r="B50" s="59">
        <f>AN37-AN43/AO41-3/12</f>
        <v>5.4331465384346149</v>
      </c>
      <c r="C50" s="55"/>
    </row>
    <row r="51" spans="1:45">
      <c r="A51" s="71" t="s">
        <v>32</v>
      </c>
      <c r="B51" s="59">
        <f>AQ37-AQ44/AR42-3/12</f>
        <v>6.710806794667258</v>
      </c>
      <c r="C51" s="55"/>
    </row>
    <row r="52" spans="1:45">
      <c r="A52" s="53"/>
      <c r="B52" s="55"/>
      <c r="C52" s="55"/>
    </row>
    <row r="53" spans="1:45">
      <c r="A53" s="53"/>
      <c r="B53" s="55"/>
      <c r="C53" s="55"/>
    </row>
    <row r="54" spans="1:45">
      <c r="A54" s="53"/>
      <c r="B54" s="55"/>
      <c r="C54" s="55"/>
    </row>
    <row r="55" spans="1:45">
      <c r="A55" s="53"/>
      <c r="B55" s="55"/>
      <c r="C55" s="55"/>
    </row>
    <row r="56" spans="1:45">
      <c r="A56" s="53"/>
      <c r="B56" s="55"/>
      <c r="C56" s="55"/>
    </row>
    <row r="57" spans="1:45">
      <c r="A57" s="53"/>
      <c r="B57" s="55"/>
      <c r="C57" s="55"/>
    </row>
    <row r="58" spans="1:45">
      <c r="A58" s="53"/>
      <c r="B58" s="55"/>
      <c r="C58" s="55"/>
    </row>
    <row r="59" spans="1:45">
      <c r="A59" s="53"/>
      <c r="B59" s="55"/>
      <c r="C59" s="55"/>
    </row>
    <row r="60" spans="1:45">
      <c r="A60" s="53"/>
      <c r="B60" s="55"/>
      <c r="C60" s="55"/>
    </row>
    <row r="61" spans="1:45">
      <c r="A61" s="53"/>
      <c r="B61" s="55"/>
      <c r="C61" s="55"/>
    </row>
    <row r="62" spans="1:45">
      <c r="A62" s="53"/>
      <c r="B62" s="55"/>
      <c r="C62" s="55"/>
    </row>
    <row r="63" spans="1:45">
      <c r="A63" s="53"/>
      <c r="B63" s="55"/>
      <c r="C63" s="55"/>
    </row>
    <row r="64" spans="1:45">
      <c r="A64" s="53"/>
      <c r="B64" s="55"/>
      <c r="C64" s="55"/>
    </row>
    <row r="65" spans="1:3">
      <c r="A65" s="53"/>
      <c r="B65" s="55"/>
      <c r="C65" s="55"/>
    </row>
    <row r="66" spans="1:3">
      <c r="A66" s="53"/>
      <c r="B66" s="55"/>
      <c r="C66" s="55"/>
    </row>
    <row r="67" spans="1:3">
      <c r="A67" s="53"/>
      <c r="B67" s="55"/>
      <c r="C67" s="55"/>
    </row>
    <row r="68" spans="1:3">
      <c r="A68" s="53"/>
      <c r="B68" s="55"/>
      <c r="C68" s="55"/>
    </row>
    <row r="69" spans="1:3">
      <c r="A69" s="53"/>
      <c r="B69" s="55"/>
      <c r="C69" s="55"/>
    </row>
    <row r="70" spans="1:3">
      <c r="A70" s="53"/>
      <c r="B70" s="55"/>
      <c r="C70" s="55"/>
    </row>
    <row r="71" spans="1:3">
      <c r="A71" s="53"/>
      <c r="B71" s="55"/>
      <c r="C71" s="55"/>
    </row>
    <row r="72" spans="1:3">
      <c r="A72" s="53"/>
      <c r="B72" s="55"/>
      <c r="C72" s="55"/>
    </row>
    <row r="73" spans="1:3">
      <c r="A73" s="53"/>
      <c r="B73" s="55"/>
      <c r="C73" s="55"/>
    </row>
    <row r="74" spans="1:3">
      <c r="A74" s="53"/>
      <c r="B74" s="55"/>
      <c r="C74" s="55"/>
    </row>
    <row r="75" spans="1:3">
      <c r="A75" s="53"/>
      <c r="B75" s="55"/>
      <c r="C75" s="55"/>
    </row>
    <row r="76" spans="1:3">
      <c r="A76" s="53"/>
      <c r="B76" s="55"/>
      <c r="C76" s="55"/>
    </row>
    <row r="77" spans="1:3">
      <c r="A77" s="53"/>
      <c r="B77" s="55"/>
      <c r="C77" s="55"/>
    </row>
    <row r="78" spans="1:3">
      <c r="A78" s="53"/>
      <c r="B78" s="55"/>
      <c r="C78" s="55"/>
    </row>
    <row r="79" spans="1:3">
      <c r="A79" s="53"/>
      <c r="B79" s="55"/>
      <c r="C79" s="55"/>
    </row>
    <row r="80" spans="1:3">
      <c r="A80" s="53"/>
      <c r="B80" s="55"/>
      <c r="C80" s="55"/>
    </row>
    <row r="81" spans="1:3">
      <c r="A81" s="53"/>
      <c r="B81" s="55"/>
      <c r="C81" s="55"/>
    </row>
    <row r="82" spans="1:3">
      <c r="A82" s="53"/>
      <c r="B82" s="55"/>
      <c r="C82" s="55"/>
    </row>
    <row r="83" spans="1:3">
      <c r="A83" s="53"/>
      <c r="B83" s="55"/>
      <c r="C83" s="55"/>
    </row>
    <row r="84" spans="1:3">
      <c r="A84" s="53"/>
      <c r="B84" s="55"/>
      <c r="C84" s="55"/>
    </row>
    <row r="85" spans="1:3">
      <c r="A85" s="53"/>
      <c r="B85" s="55"/>
      <c r="C85" s="55"/>
    </row>
    <row r="86" spans="1:3">
      <c r="A86" s="53"/>
      <c r="B86" s="55"/>
      <c r="C86" s="55"/>
    </row>
    <row r="87" spans="1:3">
      <c r="A87" s="53"/>
      <c r="B87" s="55"/>
      <c r="C87" s="55"/>
    </row>
    <row r="88" spans="1:3">
      <c r="A88" s="53"/>
      <c r="B88" s="55"/>
      <c r="C88" s="55"/>
    </row>
    <row r="89" spans="1:3">
      <c r="A89" s="53"/>
      <c r="B89" s="55"/>
      <c r="C89" s="55"/>
    </row>
    <row r="90" spans="1:3">
      <c r="A90" s="53"/>
      <c r="B90" s="55"/>
      <c r="C90" s="55"/>
    </row>
    <row r="91" spans="1:3">
      <c r="A91" s="53"/>
      <c r="B91" s="55"/>
      <c r="C91" s="55"/>
    </row>
    <row r="92" spans="1:3">
      <c r="A92" s="53"/>
      <c r="B92" s="55"/>
      <c r="C92" s="55"/>
    </row>
    <row r="93" spans="1:3">
      <c r="A93" s="53"/>
      <c r="B93" s="55"/>
      <c r="C93" s="55"/>
    </row>
    <row r="94" spans="1:3">
      <c r="A94" s="53"/>
      <c r="B94" s="55"/>
      <c r="C94" s="55"/>
    </row>
    <row r="95" spans="1:3">
      <c r="A95" s="53"/>
      <c r="B95" s="55"/>
      <c r="C95" s="55"/>
    </row>
    <row r="96" spans="1:3">
      <c r="A96" s="53"/>
      <c r="B96" s="55"/>
      <c r="C96" s="55"/>
    </row>
    <row r="97" spans="1:3">
      <c r="A97" s="53"/>
      <c r="B97" s="55"/>
      <c r="C97" s="55"/>
    </row>
    <row r="98" spans="1:3">
      <c r="A98" s="53"/>
      <c r="B98" s="55"/>
      <c r="C98" s="55"/>
    </row>
    <row r="99" spans="1:3">
      <c r="A99" s="53"/>
      <c r="B99" s="55"/>
      <c r="C99" s="55"/>
    </row>
    <row r="100" spans="1:3">
      <c r="A100" s="53"/>
      <c r="B100" s="55"/>
      <c r="C100" s="55"/>
    </row>
    <row r="101" spans="1:3">
      <c r="A101" s="53"/>
      <c r="B101" s="55"/>
      <c r="C101" s="55"/>
    </row>
    <row r="102" spans="1:3">
      <c r="A102" s="53"/>
      <c r="B102" s="55"/>
      <c r="C102" s="55"/>
    </row>
    <row r="103" spans="1:3">
      <c r="A103" s="53"/>
      <c r="B103" s="55"/>
      <c r="C103" s="55"/>
    </row>
    <row r="104" spans="1:3">
      <c r="A104" s="53"/>
      <c r="B104" s="55"/>
      <c r="C104" s="55"/>
    </row>
    <row r="105" spans="1:3">
      <c r="A105" s="53"/>
      <c r="B105" s="55"/>
      <c r="C105" s="55"/>
    </row>
    <row r="106" spans="1:3">
      <c r="A106" s="53"/>
      <c r="B106" s="55"/>
      <c r="C106" s="55"/>
    </row>
    <row r="107" spans="1:3">
      <c r="A107" s="53"/>
      <c r="B107" s="55"/>
      <c r="C107" s="55"/>
    </row>
    <row r="108" spans="1:3">
      <c r="A108" s="53"/>
      <c r="B108" s="55"/>
      <c r="C108" s="55"/>
    </row>
    <row r="109" spans="1:3">
      <c r="A109" s="53"/>
      <c r="B109" s="55"/>
      <c r="C109" s="55"/>
    </row>
    <row r="110" spans="1:3">
      <c r="A110" s="53"/>
      <c r="B110" s="55"/>
      <c r="C110" s="55"/>
    </row>
    <row r="111" spans="1:3">
      <c r="A111" s="53"/>
      <c r="B111" s="55"/>
      <c r="C111" s="55"/>
    </row>
    <row r="112" spans="1:3">
      <c r="A112" s="53"/>
      <c r="B112" s="55"/>
      <c r="C112" s="55"/>
    </row>
    <row r="113" spans="1:3">
      <c r="A113" s="53"/>
      <c r="B113" s="55"/>
      <c r="C113" s="55"/>
    </row>
    <row r="114" spans="1:3">
      <c r="A114" s="53"/>
      <c r="B114" s="55"/>
      <c r="C114" s="55"/>
    </row>
    <row r="115" spans="1:3">
      <c r="A115" s="53"/>
      <c r="B115" s="55"/>
      <c r="C115" s="55"/>
    </row>
    <row r="116" spans="1:3">
      <c r="A116" s="53"/>
      <c r="B116" s="55"/>
      <c r="C116" s="55"/>
    </row>
    <row r="117" spans="1:3">
      <c r="A117" s="53"/>
      <c r="B117" s="55"/>
      <c r="C117" s="55"/>
    </row>
    <row r="118" spans="1:3">
      <c r="A118" s="53"/>
      <c r="B118" s="55"/>
      <c r="C118" s="55"/>
    </row>
    <row r="119" spans="1:3">
      <c r="A119" s="53"/>
      <c r="B119" s="55"/>
      <c r="C119" s="55"/>
    </row>
    <row r="120" spans="1:3">
      <c r="A120" s="53"/>
      <c r="B120" s="55"/>
      <c r="C120" s="55"/>
    </row>
    <row r="121" spans="1:3">
      <c r="A121" s="53"/>
      <c r="B121" s="55"/>
      <c r="C121" s="55"/>
    </row>
    <row r="122" spans="1:3">
      <c r="A122" s="53"/>
      <c r="B122" s="55"/>
      <c r="C122" s="55"/>
    </row>
    <row r="123" spans="1:3">
      <c r="A123" s="53"/>
      <c r="B123" s="55"/>
      <c r="C123" s="55"/>
    </row>
    <row r="124" spans="1:3">
      <c r="A124" s="53"/>
      <c r="B124" s="55"/>
      <c r="C124" s="55"/>
    </row>
    <row r="125" spans="1:3">
      <c r="A125" s="53"/>
      <c r="B125" s="55"/>
      <c r="C125" s="55"/>
    </row>
    <row r="126" spans="1:3">
      <c r="A126" s="53"/>
      <c r="B126" s="55"/>
      <c r="C126" s="55"/>
    </row>
    <row r="127" spans="1:3">
      <c r="A127" s="53"/>
      <c r="B127" s="55"/>
      <c r="C127" s="55"/>
    </row>
    <row r="128" spans="1:3">
      <c r="A128" s="53"/>
      <c r="B128" s="55"/>
      <c r="C128" s="55"/>
    </row>
    <row r="129" spans="1:3">
      <c r="A129" s="53"/>
      <c r="B129" s="55"/>
      <c r="C129" s="55"/>
    </row>
    <row r="130" spans="1:3">
      <c r="A130" s="53"/>
      <c r="B130" s="55"/>
      <c r="C130" s="55"/>
    </row>
    <row r="131" spans="1:3">
      <c r="A131" s="53"/>
      <c r="B131" s="55"/>
      <c r="C131" s="55"/>
    </row>
    <row r="132" spans="1:3">
      <c r="A132" s="53"/>
      <c r="B132" s="55"/>
      <c r="C132" s="55"/>
    </row>
    <row r="133" spans="1:3">
      <c r="A133" s="53"/>
      <c r="B133" s="55"/>
      <c r="C133" s="55"/>
    </row>
    <row r="134" spans="1:3">
      <c r="A134" s="53"/>
      <c r="B134" s="55"/>
      <c r="C134" s="55"/>
    </row>
    <row r="135" spans="1:3">
      <c r="A135" s="53"/>
      <c r="B135" s="55"/>
      <c r="C135" s="55"/>
    </row>
    <row r="136" spans="1:3">
      <c r="A136" s="53"/>
      <c r="B136" s="55"/>
      <c r="C136" s="55"/>
    </row>
    <row r="137" spans="1:3">
      <c r="A137" s="53"/>
      <c r="B137" s="55"/>
      <c r="C137" s="55"/>
    </row>
    <row r="138" spans="1:3">
      <c r="A138" s="53"/>
      <c r="B138" s="55"/>
      <c r="C138" s="55"/>
    </row>
    <row r="139" spans="1:3">
      <c r="A139" s="53"/>
      <c r="B139" s="55"/>
      <c r="C139" s="55"/>
    </row>
    <row r="140" spans="1:3">
      <c r="A140" s="53"/>
      <c r="B140" s="55"/>
      <c r="C140" s="55"/>
    </row>
    <row r="141" spans="1:3">
      <c r="A141" s="53"/>
      <c r="B141" s="55"/>
      <c r="C141" s="55"/>
    </row>
    <row r="142" spans="1:3">
      <c r="A142" s="53"/>
      <c r="B142" s="55"/>
      <c r="C142" s="55"/>
    </row>
    <row r="143" spans="1:3">
      <c r="A143" s="53"/>
      <c r="B143" s="55"/>
      <c r="C143" s="55"/>
    </row>
  </sheetData>
  <mergeCells count="4">
    <mergeCell ref="A5:A6"/>
    <mergeCell ref="B5:B6"/>
    <mergeCell ref="D5:P5"/>
    <mergeCell ref="Q5:AC5"/>
  </mergeCells>
  <phoneticPr fontId="3" type="noConversion"/>
  <pageMargins left="0.43307086614173229" right="0.27559055118110237" top="0.71" bottom="0.35433070866141736" header="0.44" footer="0.23622047244094491"/>
  <pageSetup paperSize="9" orientation="landscape" r:id="rId1"/>
  <headerFooter alignWithMargins="0">
    <oddHeader>&amp;RПриложение 1</oddHeader>
  </headerFooter>
  <picture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CP17"/>
  <sheetViews>
    <sheetView showGridLines="0" zoomScaleNormal="100" workbookViewId="0">
      <pane xSplit="2" ySplit="6" topLeftCell="C7" activePane="bottomRight" state="frozen"/>
      <selection activeCell="A34" sqref="A34"/>
      <selection pane="topRight" activeCell="A34" sqref="A34"/>
      <selection pane="bottomLeft" activeCell="A34" sqref="A34"/>
      <selection pane="bottomRight" activeCell="B7" sqref="B7:CO12"/>
    </sheetView>
  </sheetViews>
  <sheetFormatPr defaultRowHeight="12.75" outlineLevelCol="1"/>
  <cols>
    <col min="1" max="1" width="23.28515625" style="183" customWidth="1"/>
    <col min="2" max="2" width="12.140625" style="183" customWidth="1"/>
    <col min="3" max="14" width="9.140625" style="183" hidden="1" customWidth="1" outlineLevel="1"/>
    <col min="15" max="15" width="10.140625" style="184" bestFit="1" customWidth="1" collapsed="1"/>
    <col min="16" max="27" width="9.140625" style="183" hidden="1" customWidth="1" outlineLevel="1"/>
    <col min="28" max="28" width="10.140625" style="184" bestFit="1" customWidth="1" collapsed="1"/>
    <col min="29" max="40" width="9.140625" style="183" hidden="1" customWidth="1" outlineLevel="1"/>
    <col min="41" max="41" width="10.140625" style="184" bestFit="1" customWidth="1" collapsed="1"/>
    <col min="42" max="47" width="9.140625" style="183" hidden="1" customWidth="1" outlineLevel="1"/>
    <col min="48" max="48" width="9.28515625" style="183" hidden="1" customWidth="1" outlineLevel="1"/>
    <col min="49" max="53" width="8.7109375" style="183" hidden="1" customWidth="1" outlineLevel="1"/>
    <col min="54" max="54" width="10.140625" style="184" bestFit="1" customWidth="1" collapsed="1"/>
    <col min="55" max="66" width="8.7109375" style="183" hidden="1" customWidth="1" outlineLevel="1"/>
    <col min="67" max="67" width="10.140625" style="184" bestFit="1" customWidth="1" collapsed="1"/>
    <col min="68" max="79" width="8.7109375" style="183" hidden="1" customWidth="1" outlineLevel="1"/>
    <col min="80" max="80" width="10.140625" style="184" bestFit="1" customWidth="1" collapsed="1"/>
    <col min="81" max="92" width="8.7109375" style="183" hidden="1" customWidth="1" outlineLevel="1"/>
    <col min="93" max="93" width="10.140625" style="184" bestFit="1" customWidth="1" collapsed="1"/>
    <col min="94" max="16384" width="9.140625" style="183"/>
  </cols>
  <sheetData>
    <row r="1" spans="1:94" ht="9.75" customHeight="1"/>
    <row r="2" spans="1:94" ht="18.75" customHeight="1">
      <c r="A2" s="184" t="s">
        <v>109</v>
      </c>
      <c r="B2" s="185"/>
      <c r="D2" s="186"/>
      <c r="E2" s="186"/>
      <c r="F2" s="187"/>
      <c r="G2" s="186"/>
      <c r="O2" s="188"/>
    </row>
    <row r="3" spans="1:94" ht="13.5" customHeight="1">
      <c r="A3" s="189"/>
      <c r="B3" s="185"/>
      <c r="D3" s="186"/>
      <c r="E3" s="186"/>
      <c r="F3" s="187"/>
      <c r="G3" s="186"/>
      <c r="O3" s="188"/>
    </row>
    <row r="4" spans="1:94">
      <c r="A4" s="190"/>
      <c r="B4" s="191"/>
    </row>
    <row r="5" spans="1:94" ht="15.75" customHeight="1">
      <c r="A5" s="192" t="s">
        <v>12</v>
      </c>
      <c r="B5" s="193">
        <f>Исх!C32</f>
        <v>7.0000000000000007E-2</v>
      </c>
      <c r="C5" s="375">
        <v>2012</v>
      </c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>
        <v>2013</v>
      </c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>
        <v>2014</v>
      </c>
      <c r="AD5" s="375"/>
      <c r="AE5" s="375"/>
      <c r="AF5" s="375"/>
      <c r="AG5" s="375"/>
      <c r="AH5" s="375"/>
      <c r="AI5" s="375"/>
      <c r="AJ5" s="375"/>
      <c r="AK5" s="375"/>
      <c r="AL5" s="375"/>
      <c r="AM5" s="375"/>
      <c r="AN5" s="375"/>
      <c r="AO5" s="375"/>
      <c r="AP5" s="375">
        <v>2015</v>
      </c>
      <c r="AQ5" s="375"/>
      <c r="AR5" s="375"/>
      <c r="AS5" s="375"/>
      <c r="AT5" s="375"/>
      <c r="AU5" s="375"/>
      <c r="AV5" s="375"/>
      <c r="AW5" s="375"/>
      <c r="AX5" s="375"/>
      <c r="AY5" s="375"/>
      <c r="AZ5" s="375"/>
      <c r="BA5" s="375"/>
      <c r="BB5" s="375"/>
      <c r="BC5" s="375">
        <v>2016</v>
      </c>
      <c r="BD5" s="375"/>
      <c r="BE5" s="375"/>
      <c r="BF5" s="375"/>
      <c r="BG5" s="375"/>
      <c r="BH5" s="375"/>
      <c r="BI5" s="375"/>
      <c r="BJ5" s="375"/>
      <c r="BK5" s="375"/>
      <c r="BL5" s="375"/>
      <c r="BM5" s="375"/>
      <c r="BN5" s="375"/>
      <c r="BO5" s="375"/>
      <c r="BP5" s="375">
        <v>2017</v>
      </c>
      <c r="BQ5" s="375"/>
      <c r="BR5" s="375"/>
      <c r="BS5" s="375"/>
      <c r="BT5" s="375"/>
      <c r="BU5" s="375"/>
      <c r="BV5" s="375"/>
      <c r="BW5" s="375"/>
      <c r="BX5" s="375"/>
      <c r="BY5" s="375"/>
      <c r="BZ5" s="375"/>
      <c r="CA5" s="375"/>
      <c r="CB5" s="375"/>
      <c r="CC5" s="375">
        <v>2018</v>
      </c>
      <c r="CD5" s="375"/>
      <c r="CE5" s="375"/>
      <c r="CF5" s="375"/>
      <c r="CG5" s="375"/>
      <c r="CH5" s="375"/>
      <c r="CI5" s="375"/>
      <c r="CJ5" s="375"/>
      <c r="CK5" s="375"/>
      <c r="CL5" s="375"/>
      <c r="CM5" s="375"/>
      <c r="CN5" s="375"/>
      <c r="CO5" s="375"/>
    </row>
    <row r="6" spans="1:94" s="198" customFormat="1" ht="15" customHeight="1">
      <c r="A6" s="194" t="s">
        <v>10</v>
      </c>
      <c r="B6" s="195" t="s">
        <v>13</v>
      </c>
      <c r="C6" s="196">
        <v>1</v>
      </c>
      <c r="D6" s="196">
        <v>2</v>
      </c>
      <c r="E6" s="196">
        <f>D6+1</f>
        <v>3</v>
      </c>
      <c r="F6" s="196">
        <f t="shared" ref="F6:N6" si="0">E6+1</f>
        <v>4</v>
      </c>
      <c r="G6" s="196">
        <f t="shared" si="0"/>
        <v>5</v>
      </c>
      <c r="H6" s="196">
        <f t="shared" si="0"/>
        <v>6</v>
      </c>
      <c r="I6" s="196">
        <f t="shared" si="0"/>
        <v>7</v>
      </c>
      <c r="J6" s="196">
        <f t="shared" si="0"/>
        <v>8</v>
      </c>
      <c r="K6" s="196">
        <f t="shared" si="0"/>
        <v>9</v>
      </c>
      <c r="L6" s="196">
        <f t="shared" si="0"/>
        <v>10</v>
      </c>
      <c r="M6" s="196">
        <f t="shared" si="0"/>
        <v>11</v>
      </c>
      <c r="N6" s="196">
        <f t="shared" si="0"/>
        <v>12</v>
      </c>
      <c r="O6" s="197" t="s">
        <v>1</v>
      </c>
      <c r="P6" s="196">
        <v>1</v>
      </c>
      <c r="Q6" s="196">
        <v>2</v>
      </c>
      <c r="R6" s="196">
        <f>Q6+1</f>
        <v>3</v>
      </c>
      <c r="S6" s="196">
        <f t="shared" ref="S6:AA6" si="1">R6+1</f>
        <v>4</v>
      </c>
      <c r="T6" s="196">
        <f t="shared" si="1"/>
        <v>5</v>
      </c>
      <c r="U6" s="196">
        <f t="shared" si="1"/>
        <v>6</v>
      </c>
      <c r="V6" s="196">
        <f t="shared" si="1"/>
        <v>7</v>
      </c>
      <c r="W6" s="196">
        <f t="shared" si="1"/>
        <v>8</v>
      </c>
      <c r="X6" s="196">
        <f t="shared" si="1"/>
        <v>9</v>
      </c>
      <c r="Y6" s="196">
        <f t="shared" si="1"/>
        <v>10</v>
      </c>
      <c r="Z6" s="196">
        <f t="shared" si="1"/>
        <v>11</v>
      </c>
      <c r="AA6" s="196">
        <f t="shared" si="1"/>
        <v>12</v>
      </c>
      <c r="AB6" s="197" t="s">
        <v>1</v>
      </c>
      <c r="AC6" s="196">
        <v>1</v>
      </c>
      <c r="AD6" s="196">
        <v>2</v>
      </c>
      <c r="AE6" s="196">
        <f t="shared" ref="AE6:BN6" si="2">AD6+1</f>
        <v>3</v>
      </c>
      <c r="AF6" s="196">
        <f t="shared" si="2"/>
        <v>4</v>
      </c>
      <c r="AG6" s="196">
        <f t="shared" si="2"/>
        <v>5</v>
      </c>
      <c r="AH6" s="196">
        <f t="shared" si="2"/>
        <v>6</v>
      </c>
      <c r="AI6" s="196">
        <f t="shared" si="2"/>
        <v>7</v>
      </c>
      <c r="AJ6" s="196">
        <f t="shared" si="2"/>
        <v>8</v>
      </c>
      <c r="AK6" s="196">
        <f t="shared" si="2"/>
        <v>9</v>
      </c>
      <c r="AL6" s="196">
        <f t="shared" si="2"/>
        <v>10</v>
      </c>
      <c r="AM6" s="196">
        <f t="shared" si="2"/>
        <v>11</v>
      </c>
      <c r="AN6" s="196">
        <f t="shared" si="2"/>
        <v>12</v>
      </c>
      <c r="AO6" s="197" t="s">
        <v>1</v>
      </c>
      <c r="AP6" s="196">
        <v>1</v>
      </c>
      <c r="AQ6" s="196">
        <v>2</v>
      </c>
      <c r="AR6" s="196">
        <f>AQ6+1</f>
        <v>3</v>
      </c>
      <c r="AS6" s="196">
        <f t="shared" si="2"/>
        <v>4</v>
      </c>
      <c r="AT6" s="196">
        <f t="shared" si="2"/>
        <v>5</v>
      </c>
      <c r="AU6" s="196">
        <f t="shared" si="2"/>
        <v>6</v>
      </c>
      <c r="AV6" s="196">
        <f t="shared" si="2"/>
        <v>7</v>
      </c>
      <c r="AW6" s="196">
        <f t="shared" si="2"/>
        <v>8</v>
      </c>
      <c r="AX6" s="196">
        <f t="shared" si="2"/>
        <v>9</v>
      </c>
      <c r="AY6" s="196">
        <f t="shared" si="2"/>
        <v>10</v>
      </c>
      <c r="AZ6" s="196">
        <f t="shared" si="2"/>
        <v>11</v>
      </c>
      <c r="BA6" s="196">
        <f t="shared" si="2"/>
        <v>12</v>
      </c>
      <c r="BB6" s="197" t="s">
        <v>1</v>
      </c>
      <c r="BC6" s="196">
        <v>1</v>
      </c>
      <c r="BD6" s="196">
        <v>2</v>
      </c>
      <c r="BE6" s="196">
        <f>BD6+1</f>
        <v>3</v>
      </c>
      <c r="BF6" s="196">
        <f t="shared" si="2"/>
        <v>4</v>
      </c>
      <c r="BG6" s="196">
        <f t="shared" si="2"/>
        <v>5</v>
      </c>
      <c r="BH6" s="196">
        <f t="shared" si="2"/>
        <v>6</v>
      </c>
      <c r="BI6" s="196">
        <f t="shared" si="2"/>
        <v>7</v>
      </c>
      <c r="BJ6" s="196">
        <f t="shared" si="2"/>
        <v>8</v>
      </c>
      <c r="BK6" s="196">
        <f t="shared" si="2"/>
        <v>9</v>
      </c>
      <c r="BL6" s="196">
        <f t="shared" si="2"/>
        <v>10</v>
      </c>
      <c r="BM6" s="196">
        <f t="shared" si="2"/>
        <v>11</v>
      </c>
      <c r="BN6" s="196">
        <f t="shared" si="2"/>
        <v>12</v>
      </c>
      <c r="BO6" s="197" t="s">
        <v>1</v>
      </c>
      <c r="BP6" s="196">
        <v>1</v>
      </c>
      <c r="BQ6" s="196">
        <v>2</v>
      </c>
      <c r="BR6" s="196">
        <f t="shared" ref="BR6:CA6" si="3">BQ6+1</f>
        <v>3</v>
      </c>
      <c r="BS6" s="196">
        <f t="shared" si="3"/>
        <v>4</v>
      </c>
      <c r="BT6" s="196">
        <f t="shared" si="3"/>
        <v>5</v>
      </c>
      <c r="BU6" s="196">
        <f t="shared" si="3"/>
        <v>6</v>
      </c>
      <c r="BV6" s="196">
        <f t="shared" si="3"/>
        <v>7</v>
      </c>
      <c r="BW6" s="196">
        <f t="shared" si="3"/>
        <v>8</v>
      </c>
      <c r="BX6" s="196">
        <f t="shared" si="3"/>
        <v>9</v>
      </c>
      <c r="BY6" s="196">
        <f t="shared" si="3"/>
        <v>10</v>
      </c>
      <c r="BZ6" s="196">
        <f t="shared" si="3"/>
        <v>11</v>
      </c>
      <c r="CA6" s="196">
        <f t="shared" si="3"/>
        <v>12</v>
      </c>
      <c r="CB6" s="197" t="s">
        <v>1</v>
      </c>
      <c r="CC6" s="196">
        <v>1</v>
      </c>
      <c r="CD6" s="196">
        <v>2</v>
      </c>
      <c r="CE6" s="196">
        <f t="shared" ref="CE6:CN6" si="4">CD6+1</f>
        <v>3</v>
      </c>
      <c r="CF6" s="196">
        <f t="shared" si="4"/>
        <v>4</v>
      </c>
      <c r="CG6" s="196">
        <f t="shared" si="4"/>
        <v>5</v>
      </c>
      <c r="CH6" s="196">
        <f t="shared" si="4"/>
        <v>6</v>
      </c>
      <c r="CI6" s="196">
        <f t="shared" si="4"/>
        <v>7</v>
      </c>
      <c r="CJ6" s="196">
        <f t="shared" si="4"/>
        <v>8</v>
      </c>
      <c r="CK6" s="196">
        <f t="shared" si="4"/>
        <v>9</v>
      </c>
      <c r="CL6" s="196">
        <f t="shared" si="4"/>
        <v>10</v>
      </c>
      <c r="CM6" s="196">
        <f t="shared" si="4"/>
        <v>11</v>
      </c>
      <c r="CN6" s="196">
        <f t="shared" si="4"/>
        <v>12</v>
      </c>
      <c r="CO6" s="197" t="s">
        <v>1</v>
      </c>
    </row>
    <row r="7" spans="1:94">
      <c r="A7" s="194" t="s">
        <v>119</v>
      </c>
      <c r="B7" s="199">
        <f>O7+AB7+AO7+BB7+BO7+CB7+CO7</f>
        <v>52563.444807682296</v>
      </c>
      <c r="C7" s="200">
        <f>'1-Ф3'!D30</f>
        <v>6305.9418736979187</v>
      </c>
      <c r="D7" s="200">
        <f>'1-Ф3'!E30</f>
        <v>9836.4572505468786</v>
      </c>
      <c r="E7" s="200">
        <f>'1-Ф3'!F30</f>
        <v>34321.0456834375</v>
      </c>
      <c r="F7" s="200">
        <f>'1-Ф3'!G30</f>
        <v>0</v>
      </c>
      <c r="G7" s="200">
        <f>'1-Ф3'!H30</f>
        <v>0</v>
      </c>
      <c r="H7" s="200">
        <f>'1-Ф3'!I30</f>
        <v>2100</v>
      </c>
      <c r="I7" s="200">
        <f>'1-Ф3'!J30</f>
        <v>0</v>
      </c>
      <c r="J7" s="200">
        <f>'1-Ф3'!K30</f>
        <v>0</v>
      </c>
      <c r="K7" s="200">
        <f>'1-Ф3'!L30</f>
        <v>0</v>
      </c>
      <c r="L7" s="200">
        <f>'1-Ф3'!M30</f>
        <v>0</v>
      </c>
      <c r="M7" s="200">
        <f>'1-Ф3'!N30</f>
        <v>0</v>
      </c>
      <c r="N7" s="200">
        <f>'1-Ф3'!O30</f>
        <v>0</v>
      </c>
      <c r="O7" s="201">
        <f>SUM(C7:N7)</f>
        <v>52563.444807682296</v>
      </c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2"/>
    </row>
    <row r="8" spans="1:94" s="203" customFormat="1" ht="20.25" customHeight="1">
      <c r="A8" s="194" t="s">
        <v>34</v>
      </c>
      <c r="B8" s="199">
        <f>O8+AB8+AO8+BB8+BO8+CB8+CO8</f>
        <v>1933.919224090213</v>
      </c>
      <c r="C8" s="200"/>
      <c r="D8" s="200"/>
      <c r="E8" s="200"/>
      <c r="F8" s="200"/>
      <c r="G8" s="200"/>
      <c r="H8" s="200"/>
      <c r="I8" s="200"/>
      <c r="J8" s="200"/>
      <c r="K8" s="200">
        <f>SUM(C9:K9)</f>
        <v>1933.919224090213</v>
      </c>
      <c r="L8" s="200"/>
      <c r="M8" s="200"/>
      <c r="N8" s="200"/>
      <c r="O8" s="201">
        <f>SUM(C8:N8)</f>
        <v>1933.919224090213</v>
      </c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1">
        <f>SUM(P8:AA8)</f>
        <v>0</v>
      </c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1">
        <f>SUM(AC8:AN8)</f>
        <v>0</v>
      </c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1">
        <f>SUM(AP8:BA8)</f>
        <v>0</v>
      </c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1">
        <f>SUM(BC8:BN8)</f>
        <v>0</v>
      </c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/>
      <c r="CA8" s="200"/>
      <c r="CB8" s="201">
        <f>SUM(BP8:CA8)</f>
        <v>0</v>
      </c>
      <c r="CC8" s="200"/>
      <c r="CD8" s="200"/>
      <c r="CE8" s="200"/>
      <c r="CF8" s="200"/>
      <c r="CG8" s="200"/>
      <c r="CH8" s="200"/>
      <c r="CI8" s="200"/>
      <c r="CJ8" s="200"/>
      <c r="CK8" s="200"/>
      <c r="CL8" s="200"/>
      <c r="CM8" s="200"/>
      <c r="CN8" s="200"/>
      <c r="CO8" s="201">
        <f>SUM(CC8:CN8)</f>
        <v>0</v>
      </c>
    </row>
    <row r="9" spans="1:94" s="203" customFormat="1">
      <c r="A9" s="204" t="s">
        <v>14</v>
      </c>
      <c r="B9" s="199">
        <f>O9+AB9+AO9+BB9+BO9+CB9+CO9</f>
        <v>14014.168251133144</v>
      </c>
      <c r="C9" s="200"/>
      <c r="D9" s="200">
        <f>C12*$B$5/12</f>
        <v>36.784660929904526</v>
      </c>
      <c r="E9" s="200">
        <f>D12*$B$5/12</f>
        <v>94.16399489142799</v>
      </c>
      <c r="F9" s="200">
        <f>E12*$B$5/12</f>
        <v>294.37009471148008</v>
      </c>
      <c r="G9" s="200">
        <f>F12*$B$5/12</f>
        <v>294.37009471148008</v>
      </c>
      <c r="H9" s="200">
        <f>G12*$B$5/12</f>
        <v>294.37009471148008</v>
      </c>
      <c r="I9" s="200">
        <f t="shared" ref="I9:AA9" si="5">H12*$B$5/12</f>
        <v>306.62009471148008</v>
      </c>
      <c r="J9" s="200">
        <f t="shared" si="5"/>
        <v>306.62009471148008</v>
      </c>
      <c r="K9" s="200">
        <f t="shared" si="5"/>
        <v>306.62009471148008</v>
      </c>
      <c r="L9" s="200">
        <f>K12*$B$5/12</f>
        <v>317.90129018533963</v>
      </c>
      <c r="M9" s="200">
        <f t="shared" si="5"/>
        <v>313.66260631620179</v>
      </c>
      <c r="N9" s="200">
        <f t="shared" si="5"/>
        <v>309.42392244706394</v>
      </c>
      <c r="O9" s="201">
        <f>SUM(C9:N9)</f>
        <v>2874.9070430388183</v>
      </c>
      <c r="P9" s="200">
        <f t="shared" si="5"/>
        <v>305.1852385779261</v>
      </c>
      <c r="Q9" s="200">
        <f t="shared" si="5"/>
        <v>300.94655470878826</v>
      </c>
      <c r="R9" s="200">
        <f t="shared" si="5"/>
        <v>296.70787083965041</v>
      </c>
      <c r="S9" s="200">
        <f t="shared" si="5"/>
        <v>292.46918697051257</v>
      </c>
      <c r="T9" s="200">
        <f t="shared" si="5"/>
        <v>288.23050310137472</v>
      </c>
      <c r="U9" s="200">
        <f t="shared" si="5"/>
        <v>283.99181923223688</v>
      </c>
      <c r="V9" s="200">
        <f t="shared" si="5"/>
        <v>279.75313536309903</v>
      </c>
      <c r="W9" s="200">
        <f t="shared" si="5"/>
        <v>275.51445149396119</v>
      </c>
      <c r="X9" s="200">
        <f t="shared" si="5"/>
        <v>271.27576762482335</v>
      </c>
      <c r="Y9" s="200">
        <f t="shared" si="5"/>
        <v>267.0370837556855</v>
      </c>
      <c r="Z9" s="200">
        <f t="shared" si="5"/>
        <v>262.79839988654766</v>
      </c>
      <c r="AA9" s="200">
        <f t="shared" si="5"/>
        <v>258.55971601740981</v>
      </c>
      <c r="AB9" s="201">
        <f>SUM(P9:AA9)</f>
        <v>3382.4697275720155</v>
      </c>
      <c r="AC9" s="200">
        <f t="shared" ref="AC9:AN9" si="6">AB12*$B$5/12</f>
        <v>254.32103214827194</v>
      </c>
      <c r="AD9" s="200">
        <f t="shared" si="6"/>
        <v>250.0823482791341</v>
      </c>
      <c r="AE9" s="200">
        <f t="shared" si="6"/>
        <v>245.84366440999625</v>
      </c>
      <c r="AF9" s="200">
        <f t="shared" si="6"/>
        <v>241.60498054085841</v>
      </c>
      <c r="AG9" s="200">
        <f t="shared" si="6"/>
        <v>237.36629667172056</v>
      </c>
      <c r="AH9" s="200">
        <f t="shared" si="6"/>
        <v>233.12761280258272</v>
      </c>
      <c r="AI9" s="200">
        <f t="shared" si="6"/>
        <v>228.88892893344487</v>
      </c>
      <c r="AJ9" s="200">
        <f t="shared" si="6"/>
        <v>224.65024506430703</v>
      </c>
      <c r="AK9" s="200">
        <f t="shared" si="6"/>
        <v>220.41156119516918</v>
      </c>
      <c r="AL9" s="200">
        <f t="shared" si="6"/>
        <v>216.17287732603134</v>
      </c>
      <c r="AM9" s="200">
        <f t="shared" si="6"/>
        <v>211.9341934568935</v>
      </c>
      <c r="AN9" s="200">
        <f t="shared" si="6"/>
        <v>207.69550958775565</v>
      </c>
      <c r="AO9" s="201">
        <f>SUM(AC9:AN9)</f>
        <v>2772.0992504161654</v>
      </c>
      <c r="AP9" s="200">
        <f t="shared" ref="AP9:BA9" si="7">AO12*$B$5/12</f>
        <v>203.45682571861781</v>
      </c>
      <c r="AQ9" s="200">
        <f t="shared" si="7"/>
        <v>199.21814184947996</v>
      </c>
      <c r="AR9" s="200">
        <f t="shared" si="7"/>
        <v>194.97945798034212</v>
      </c>
      <c r="AS9" s="200">
        <f t="shared" si="7"/>
        <v>190.74077411120425</v>
      </c>
      <c r="AT9" s="200">
        <f t="shared" si="7"/>
        <v>186.50209024206637</v>
      </c>
      <c r="AU9" s="200">
        <f t="shared" si="7"/>
        <v>182.26340637292853</v>
      </c>
      <c r="AV9" s="200">
        <f t="shared" si="7"/>
        <v>178.02472250379063</v>
      </c>
      <c r="AW9" s="200">
        <f t="shared" si="7"/>
        <v>173.78603863465278</v>
      </c>
      <c r="AX9" s="200">
        <f t="shared" si="7"/>
        <v>169.54735476551491</v>
      </c>
      <c r="AY9" s="200">
        <f t="shared" si="7"/>
        <v>165.30867089637704</v>
      </c>
      <c r="AZ9" s="200">
        <f t="shared" si="7"/>
        <v>161.06998702723919</v>
      </c>
      <c r="BA9" s="200">
        <f t="shared" si="7"/>
        <v>156.83130315810129</v>
      </c>
      <c r="BB9" s="201">
        <f>SUM(AP9:BA9)</f>
        <v>2161.7287732603149</v>
      </c>
      <c r="BC9" s="200">
        <f t="shared" ref="BC9:BN9" si="8">BB12*$B$5/12</f>
        <v>152.59261928896345</v>
      </c>
      <c r="BD9" s="200">
        <f t="shared" si="8"/>
        <v>148.35393541982558</v>
      </c>
      <c r="BE9" s="200">
        <f t="shared" si="8"/>
        <v>144.1152515506877</v>
      </c>
      <c r="BF9" s="200">
        <f t="shared" si="8"/>
        <v>139.87656768154986</v>
      </c>
      <c r="BG9" s="200">
        <f t="shared" si="8"/>
        <v>135.63788381241196</v>
      </c>
      <c r="BH9" s="200">
        <f t="shared" si="8"/>
        <v>131.39919994327411</v>
      </c>
      <c r="BI9" s="200">
        <f t="shared" si="8"/>
        <v>127.16051607413624</v>
      </c>
      <c r="BJ9" s="200">
        <f t="shared" si="8"/>
        <v>122.92183220499838</v>
      </c>
      <c r="BK9" s="200">
        <f t="shared" si="8"/>
        <v>118.68314833586049</v>
      </c>
      <c r="BL9" s="200">
        <f t="shared" si="8"/>
        <v>114.44446446672264</v>
      </c>
      <c r="BM9" s="200">
        <f t="shared" si="8"/>
        <v>110.20578059758476</v>
      </c>
      <c r="BN9" s="200">
        <f t="shared" si="8"/>
        <v>105.9670967284469</v>
      </c>
      <c r="BO9" s="201">
        <f>SUM(BC9:BN9)</f>
        <v>1551.3582961044622</v>
      </c>
      <c r="BP9" s="200">
        <f t="shared" ref="BP9:CA9" si="9">BO12*$B$5/12</f>
        <v>101.72841285930905</v>
      </c>
      <c r="BQ9" s="200">
        <f t="shared" si="9"/>
        <v>97.489728990171159</v>
      </c>
      <c r="BR9" s="200">
        <f t="shared" si="9"/>
        <v>93.2510451210333</v>
      </c>
      <c r="BS9" s="200">
        <f t="shared" si="9"/>
        <v>89.012361251895427</v>
      </c>
      <c r="BT9" s="200">
        <f t="shared" si="9"/>
        <v>84.773677382757555</v>
      </c>
      <c r="BU9" s="200">
        <f t="shared" si="9"/>
        <v>80.534993513619696</v>
      </c>
      <c r="BV9" s="200">
        <f t="shared" si="9"/>
        <v>76.296309644481823</v>
      </c>
      <c r="BW9" s="200">
        <f t="shared" si="9"/>
        <v>72.057625775343965</v>
      </c>
      <c r="BX9" s="200">
        <f t="shared" si="9"/>
        <v>67.818941906206092</v>
      </c>
      <c r="BY9" s="200">
        <f t="shared" si="9"/>
        <v>63.580258037068226</v>
      </c>
      <c r="BZ9" s="200">
        <f t="shared" si="9"/>
        <v>59.341574167930361</v>
      </c>
      <c r="CA9" s="200">
        <f t="shared" si="9"/>
        <v>55.102890298792488</v>
      </c>
      <c r="CB9" s="201">
        <f>SUM(BP9:CA9)</f>
        <v>940.98781894860917</v>
      </c>
      <c r="CC9" s="200">
        <f t="shared" ref="CC9:CN9" si="10">CB12*$B$5/12</f>
        <v>50.864206429654622</v>
      </c>
      <c r="CD9" s="200">
        <f t="shared" si="10"/>
        <v>46.625522560516764</v>
      </c>
      <c r="CE9" s="200">
        <f t="shared" si="10"/>
        <v>42.386838691378898</v>
      </c>
      <c r="CF9" s="200">
        <f t="shared" si="10"/>
        <v>38.148154822241032</v>
      </c>
      <c r="CG9" s="200">
        <f t="shared" si="10"/>
        <v>33.909470953103174</v>
      </c>
      <c r="CH9" s="200">
        <f t="shared" si="10"/>
        <v>29.670787083965312</v>
      </c>
      <c r="CI9" s="200">
        <f t="shared" si="10"/>
        <v>25.43210321482745</v>
      </c>
      <c r="CJ9" s="200">
        <f t="shared" si="10"/>
        <v>21.193419345689588</v>
      </c>
      <c r="CK9" s="200">
        <f t="shared" si="10"/>
        <v>16.954735476551726</v>
      </c>
      <c r="CL9" s="200">
        <f t="shared" si="10"/>
        <v>12.716051607413862</v>
      </c>
      <c r="CM9" s="200">
        <f t="shared" si="10"/>
        <v>8.4773677382759995</v>
      </c>
      <c r="CN9" s="200">
        <f t="shared" si="10"/>
        <v>4.2386838691381383</v>
      </c>
      <c r="CO9" s="201">
        <f>SUM(CC9:CN9)</f>
        <v>330.61734179275652</v>
      </c>
    </row>
    <row r="10" spans="1:94">
      <c r="A10" s="194" t="s">
        <v>15</v>
      </c>
      <c r="B10" s="199">
        <f>O10+AB10+AO10+BB10+BO10+CB10+CO10</f>
        <v>54497.364031772508</v>
      </c>
      <c r="C10" s="205"/>
      <c r="D10" s="205"/>
      <c r="E10" s="205"/>
      <c r="F10" s="205"/>
      <c r="G10" s="205"/>
      <c r="H10" s="205"/>
      <c r="I10" s="205"/>
      <c r="J10" s="205"/>
      <c r="K10" s="205"/>
      <c r="L10" s="200">
        <f>$K$12/$B$13</f>
        <v>726.63152042363345</v>
      </c>
      <c r="M10" s="200">
        <f t="shared" ref="M10:BX10" si="11">$K$12/$B$13</f>
        <v>726.63152042363345</v>
      </c>
      <c r="N10" s="200">
        <f t="shared" si="11"/>
        <v>726.63152042363345</v>
      </c>
      <c r="O10" s="201">
        <f>SUM(C10:N10)</f>
        <v>2179.8945612709003</v>
      </c>
      <c r="P10" s="200">
        <f t="shared" si="11"/>
        <v>726.63152042363345</v>
      </c>
      <c r="Q10" s="200">
        <f t="shared" si="11"/>
        <v>726.63152042363345</v>
      </c>
      <c r="R10" s="200">
        <f t="shared" si="11"/>
        <v>726.63152042363345</v>
      </c>
      <c r="S10" s="200">
        <f t="shared" si="11"/>
        <v>726.63152042363345</v>
      </c>
      <c r="T10" s="200">
        <f t="shared" si="11"/>
        <v>726.63152042363345</v>
      </c>
      <c r="U10" s="200">
        <f t="shared" si="11"/>
        <v>726.63152042363345</v>
      </c>
      <c r="V10" s="200">
        <f t="shared" si="11"/>
        <v>726.63152042363345</v>
      </c>
      <c r="W10" s="200">
        <f t="shared" si="11"/>
        <v>726.63152042363345</v>
      </c>
      <c r="X10" s="200">
        <f t="shared" si="11"/>
        <v>726.63152042363345</v>
      </c>
      <c r="Y10" s="200">
        <f t="shared" si="11"/>
        <v>726.63152042363345</v>
      </c>
      <c r="Z10" s="200">
        <f t="shared" si="11"/>
        <v>726.63152042363345</v>
      </c>
      <c r="AA10" s="200">
        <f t="shared" si="11"/>
        <v>726.63152042363345</v>
      </c>
      <c r="AB10" s="201">
        <f>SUM(P10:AA10)</f>
        <v>8719.5782450836014</v>
      </c>
      <c r="AC10" s="200">
        <f t="shared" si="11"/>
        <v>726.63152042363345</v>
      </c>
      <c r="AD10" s="200">
        <f t="shared" si="11"/>
        <v>726.63152042363345</v>
      </c>
      <c r="AE10" s="200">
        <f t="shared" si="11"/>
        <v>726.63152042363345</v>
      </c>
      <c r="AF10" s="200">
        <f t="shared" si="11"/>
        <v>726.63152042363345</v>
      </c>
      <c r="AG10" s="200">
        <f t="shared" si="11"/>
        <v>726.63152042363345</v>
      </c>
      <c r="AH10" s="200">
        <f t="shared" si="11"/>
        <v>726.63152042363345</v>
      </c>
      <c r="AI10" s="200">
        <f t="shared" si="11"/>
        <v>726.63152042363345</v>
      </c>
      <c r="AJ10" s="200">
        <f t="shared" si="11"/>
        <v>726.63152042363345</v>
      </c>
      <c r="AK10" s="200">
        <f t="shared" si="11"/>
        <v>726.63152042363345</v>
      </c>
      <c r="AL10" s="200">
        <f t="shared" si="11"/>
        <v>726.63152042363345</v>
      </c>
      <c r="AM10" s="200">
        <f t="shared" si="11"/>
        <v>726.63152042363345</v>
      </c>
      <c r="AN10" s="200">
        <f t="shared" si="11"/>
        <v>726.63152042363345</v>
      </c>
      <c r="AO10" s="201">
        <f>SUM(AC10:AN10)</f>
        <v>8719.5782450836014</v>
      </c>
      <c r="AP10" s="200">
        <f t="shared" si="11"/>
        <v>726.63152042363345</v>
      </c>
      <c r="AQ10" s="200">
        <f t="shared" si="11"/>
        <v>726.63152042363345</v>
      </c>
      <c r="AR10" s="200">
        <f t="shared" si="11"/>
        <v>726.63152042363345</v>
      </c>
      <c r="AS10" s="200">
        <f t="shared" si="11"/>
        <v>726.63152042363345</v>
      </c>
      <c r="AT10" s="200">
        <f t="shared" si="11"/>
        <v>726.63152042363345</v>
      </c>
      <c r="AU10" s="200">
        <f t="shared" si="11"/>
        <v>726.63152042363345</v>
      </c>
      <c r="AV10" s="200">
        <f t="shared" si="11"/>
        <v>726.63152042363345</v>
      </c>
      <c r="AW10" s="200">
        <f t="shared" si="11"/>
        <v>726.63152042363345</v>
      </c>
      <c r="AX10" s="200">
        <f t="shared" si="11"/>
        <v>726.63152042363345</v>
      </c>
      <c r="AY10" s="200">
        <f t="shared" si="11"/>
        <v>726.63152042363345</v>
      </c>
      <c r="AZ10" s="200">
        <f t="shared" si="11"/>
        <v>726.63152042363345</v>
      </c>
      <c r="BA10" s="200">
        <f t="shared" si="11"/>
        <v>726.63152042363345</v>
      </c>
      <c r="BB10" s="201">
        <f>SUM(AP10:BA10)</f>
        <v>8719.5782450836014</v>
      </c>
      <c r="BC10" s="200">
        <f t="shared" si="11"/>
        <v>726.63152042363345</v>
      </c>
      <c r="BD10" s="200">
        <f t="shared" si="11"/>
        <v>726.63152042363345</v>
      </c>
      <c r="BE10" s="200">
        <f t="shared" si="11"/>
        <v>726.63152042363345</v>
      </c>
      <c r="BF10" s="200">
        <f t="shared" si="11"/>
        <v>726.63152042363345</v>
      </c>
      <c r="BG10" s="200">
        <f t="shared" si="11"/>
        <v>726.63152042363345</v>
      </c>
      <c r="BH10" s="200">
        <f t="shared" si="11"/>
        <v>726.63152042363345</v>
      </c>
      <c r="BI10" s="200">
        <f t="shared" si="11"/>
        <v>726.63152042363345</v>
      </c>
      <c r="BJ10" s="200">
        <f t="shared" si="11"/>
        <v>726.63152042363345</v>
      </c>
      <c r="BK10" s="200">
        <f t="shared" si="11"/>
        <v>726.63152042363345</v>
      </c>
      <c r="BL10" s="200">
        <f t="shared" si="11"/>
        <v>726.63152042363345</v>
      </c>
      <c r="BM10" s="200">
        <f t="shared" si="11"/>
        <v>726.63152042363345</v>
      </c>
      <c r="BN10" s="200">
        <f t="shared" si="11"/>
        <v>726.63152042363345</v>
      </c>
      <c r="BO10" s="201">
        <f>SUM(BC10:BN10)</f>
        <v>8719.5782450836014</v>
      </c>
      <c r="BP10" s="200">
        <f t="shared" si="11"/>
        <v>726.63152042363345</v>
      </c>
      <c r="BQ10" s="200">
        <f t="shared" si="11"/>
        <v>726.63152042363345</v>
      </c>
      <c r="BR10" s="200">
        <f t="shared" si="11"/>
        <v>726.63152042363345</v>
      </c>
      <c r="BS10" s="200">
        <f t="shared" si="11"/>
        <v>726.63152042363345</v>
      </c>
      <c r="BT10" s="200">
        <f t="shared" si="11"/>
        <v>726.63152042363345</v>
      </c>
      <c r="BU10" s="200">
        <f t="shared" si="11"/>
        <v>726.63152042363345</v>
      </c>
      <c r="BV10" s="200">
        <f t="shared" si="11"/>
        <v>726.63152042363345</v>
      </c>
      <c r="BW10" s="200">
        <f t="shared" si="11"/>
        <v>726.63152042363345</v>
      </c>
      <c r="BX10" s="200">
        <f t="shared" si="11"/>
        <v>726.63152042363345</v>
      </c>
      <c r="BY10" s="200">
        <f>$K$12/$B$13</f>
        <v>726.63152042363345</v>
      </c>
      <c r="BZ10" s="200">
        <f>$K$12/$B$13</f>
        <v>726.63152042363345</v>
      </c>
      <c r="CA10" s="200">
        <f>$K$12/$B$13</f>
        <v>726.63152042363345</v>
      </c>
      <c r="CB10" s="201">
        <f>SUM(BP10:CA10)</f>
        <v>8719.5782450836014</v>
      </c>
      <c r="CC10" s="200">
        <f t="shared" ref="CC10:CN10" si="12">$K$12/$B$13</f>
        <v>726.63152042363345</v>
      </c>
      <c r="CD10" s="200">
        <f t="shared" si="12"/>
        <v>726.63152042363345</v>
      </c>
      <c r="CE10" s="200">
        <f t="shared" si="12"/>
        <v>726.63152042363345</v>
      </c>
      <c r="CF10" s="200">
        <f t="shared" si="12"/>
        <v>726.63152042363345</v>
      </c>
      <c r="CG10" s="200">
        <f t="shared" si="12"/>
        <v>726.63152042363345</v>
      </c>
      <c r="CH10" s="200">
        <f t="shared" si="12"/>
        <v>726.63152042363345</v>
      </c>
      <c r="CI10" s="200">
        <f t="shared" si="12"/>
        <v>726.63152042363345</v>
      </c>
      <c r="CJ10" s="200">
        <f t="shared" si="12"/>
        <v>726.63152042363345</v>
      </c>
      <c r="CK10" s="200">
        <f t="shared" si="12"/>
        <v>726.63152042363345</v>
      </c>
      <c r="CL10" s="200">
        <f t="shared" si="12"/>
        <v>726.63152042363345</v>
      </c>
      <c r="CM10" s="200">
        <f t="shared" si="12"/>
        <v>726.63152042363345</v>
      </c>
      <c r="CN10" s="200">
        <f t="shared" si="12"/>
        <v>726.63152042363345</v>
      </c>
      <c r="CO10" s="201">
        <f>SUM(CC10:CN10)</f>
        <v>8719.5782450836014</v>
      </c>
      <c r="CP10" s="202"/>
    </row>
    <row r="11" spans="1:94">
      <c r="A11" s="194" t="s">
        <v>16</v>
      </c>
      <c r="B11" s="199">
        <f>O11+AB11+AO11+BB11+BO11+CB11+CO11</f>
        <v>12080.249027042928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0">
        <f>L9</f>
        <v>317.90129018533963</v>
      </c>
      <c r="M11" s="200">
        <f>M9</f>
        <v>313.66260631620179</v>
      </c>
      <c r="N11" s="200">
        <f>N9</f>
        <v>309.42392244706394</v>
      </c>
      <c r="O11" s="201">
        <f>SUM(C11:N11)</f>
        <v>940.98781894860531</v>
      </c>
      <c r="P11" s="200">
        <f t="shared" ref="P11:BN11" si="13">P9</f>
        <v>305.1852385779261</v>
      </c>
      <c r="Q11" s="200">
        <f t="shared" si="13"/>
        <v>300.94655470878826</v>
      </c>
      <c r="R11" s="200">
        <f t="shared" si="13"/>
        <v>296.70787083965041</v>
      </c>
      <c r="S11" s="200">
        <f t="shared" si="13"/>
        <v>292.46918697051257</v>
      </c>
      <c r="T11" s="200">
        <f t="shared" si="13"/>
        <v>288.23050310137472</v>
      </c>
      <c r="U11" s="200">
        <f t="shared" si="13"/>
        <v>283.99181923223688</v>
      </c>
      <c r="V11" s="200">
        <f t="shared" si="13"/>
        <v>279.75313536309903</v>
      </c>
      <c r="W11" s="200">
        <f t="shared" si="13"/>
        <v>275.51445149396119</v>
      </c>
      <c r="X11" s="200">
        <f t="shared" si="13"/>
        <v>271.27576762482335</v>
      </c>
      <c r="Y11" s="200">
        <f t="shared" si="13"/>
        <v>267.0370837556855</v>
      </c>
      <c r="Z11" s="200">
        <f t="shared" si="13"/>
        <v>262.79839988654766</v>
      </c>
      <c r="AA11" s="200">
        <f t="shared" si="13"/>
        <v>258.55971601740981</v>
      </c>
      <c r="AB11" s="201">
        <f>SUM(P11:AA11)</f>
        <v>3382.4697275720155</v>
      </c>
      <c r="AC11" s="200">
        <f t="shared" si="13"/>
        <v>254.32103214827194</v>
      </c>
      <c r="AD11" s="200">
        <f t="shared" si="13"/>
        <v>250.0823482791341</v>
      </c>
      <c r="AE11" s="200">
        <f t="shared" si="13"/>
        <v>245.84366440999625</v>
      </c>
      <c r="AF11" s="200">
        <f t="shared" si="13"/>
        <v>241.60498054085841</v>
      </c>
      <c r="AG11" s="200">
        <f t="shared" si="13"/>
        <v>237.36629667172056</v>
      </c>
      <c r="AH11" s="200">
        <f t="shared" si="13"/>
        <v>233.12761280258272</v>
      </c>
      <c r="AI11" s="200">
        <f t="shared" si="13"/>
        <v>228.88892893344487</v>
      </c>
      <c r="AJ11" s="200">
        <f t="shared" si="13"/>
        <v>224.65024506430703</v>
      </c>
      <c r="AK11" s="200">
        <f t="shared" si="13"/>
        <v>220.41156119516918</v>
      </c>
      <c r="AL11" s="200">
        <f t="shared" si="13"/>
        <v>216.17287732603134</v>
      </c>
      <c r="AM11" s="200">
        <f t="shared" si="13"/>
        <v>211.9341934568935</v>
      </c>
      <c r="AN11" s="200">
        <f t="shared" si="13"/>
        <v>207.69550958775565</v>
      </c>
      <c r="AO11" s="201">
        <f>SUM(AC11:AN11)</f>
        <v>2772.0992504161654</v>
      </c>
      <c r="AP11" s="200">
        <f t="shared" si="13"/>
        <v>203.45682571861781</v>
      </c>
      <c r="AQ11" s="200">
        <f t="shared" si="13"/>
        <v>199.21814184947996</v>
      </c>
      <c r="AR11" s="200">
        <f t="shared" si="13"/>
        <v>194.97945798034212</v>
      </c>
      <c r="AS11" s="200">
        <f t="shared" si="13"/>
        <v>190.74077411120425</v>
      </c>
      <c r="AT11" s="200">
        <f t="shared" si="13"/>
        <v>186.50209024206637</v>
      </c>
      <c r="AU11" s="200">
        <f t="shared" si="13"/>
        <v>182.26340637292853</v>
      </c>
      <c r="AV11" s="200">
        <f t="shared" si="13"/>
        <v>178.02472250379063</v>
      </c>
      <c r="AW11" s="200">
        <f t="shared" si="13"/>
        <v>173.78603863465278</v>
      </c>
      <c r="AX11" s="200">
        <f t="shared" si="13"/>
        <v>169.54735476551491</v>
      </c>
      <c r="AY11" s="200">
        <f t="shared" si="13"/>
        <v>165.30867089637704</v>
      </c>
      <c r="AZ11" s="200">
        <f t="shared" si="13"/>
        <v>161.06998702723919</v>
      </c>
      <c r="BA11" s="200">
        <f t="shared" si="13"/>
        <v>156.83130315810129</v>
      </c>
      <c r="BB11" s="201">
        <f>SUM(AP11:BA11)</f>
        <v>2161.7287732603149</v>
      </c>
      <c r="BC11" s="200">
        <f t="shared" si="13"/>
        <v>152.59261928896345</v>
      </c>
      <c r="BD11" s="200">
        <f t="shared" si="13"/>
        <v>148.35393541982558</v>
      </c>
      <c r="BE11" s="200">
        <f t="shared" si="13"/>
        <v>144.1152515506877</v>
      </c>
      <c r="BF11" s="200">
        <f t="shared" si="13"/>
        <v>139.87656768154986</v>
      </c>
      <c r="BG11" s="200">
        <f t="shared" si="13"/>
        <v>135.63788381241196</v>
      </c>
      <c r="BH11" s="200">
        <f t="shared" si="13"/>
        <v>131.39919994327411</v>
      </c>
      <c r="BI11" s="200">
        <f t="shared" si="13"/>
        <v>127.16051607413624</v>
      </c>
      <c r="BJ11" s="200">
        <f t="shared" si="13"/>
        <v>122.92183220499838</v>
      </c>
      <c r="BK11" s="200">
        <f t="shared" si="13"/>
        <v>118.68314833586049</v>
      </c>
      <c r="BL11" s="200">
        <f t="shared" si="13"/>
        <v>114.44446446672264</v>
      </c>
      <c r="BM11" s="200">
        <f t="shared" si="13"/>
        <v>110.20578059758476</v>
      </c>
      <c r="BN11" s="200">
        <f t="shared" si="13"/>
        <v>105.9670967284469</v>
      </c>
      <c r="BO11" s="201">
        <f>SUM(BC11:BN11)</f>
        <v>1551.3582961044622</v>
      </c>
      <c r="BP11" s="200">
        <f t="shared" ref="BP11:CA11" si="14">BP9</f>
        <v>101.72841285930905</v>
      </c>
      <c r="BQ11" s="200">
        <f t="shared" si="14"/>
        <v>97.489728990171159</v>
      </c>
      <c r="BR11" s="200">
        <f t="shared" si="14"/>
        <v>93.2510451210333</v>
      </c>
      <c r="BS11" s="200">
        <f t="shared" si="14"/>
        <v>89.012361251895427</v>
      </c>
      <c r="BT11" s="200">
        <f t="shared" si="14"/>
        <v>84.773677382757555</v>
      </c>
      <c r="BU11" s="200">
        <f t="shared" si="14"/>
        <v>80.534993513619696</v>
      </c>
      <c r="BV11" s="200">
        <f t="shared" si="14"/>
        <v>76.296309644481823</v>
      </c>
      <c r="BW11" s="200">
        <f t="shared" si="14"/>
        <v>72.057625775343965</v>
      </c>
      <c r="BX11" s="200">
        <f t="shared" si="14"/>
        <v>67.818941906206092</v>
      </c>
      <c r="BY11" s="200">
        <f t="shared" si="14"/>
        <v>63.580258037068226</v>
      </c>
      <c r="BZ11" s="200">
        <f t="shared" si="14"/>
        <v>59.341574167930361</v>
      </c>
      <c r="CA11" s="200">
        <f t="shared" si="14"/>
        <v>55.102890298792488</v>
      </c>
      <c r="CB11" s="201">
        <f>SUM(BP11:CA11)</f>
        <v>940.98781894860917</v>
      </c>
      <c r="CC11" s="200">
        <f t="shared" ref="CC11:CN11" si="15">CC9</f>
        <v>50.864206429654622</v>
      </c>
      <c r="CD11" s="200">
        <f t="shared" si="15"/>
        <v>46.625522560516764</v>
      </c>
      <c r="CE11" s="200">
        <f t="shared" si="15"/>
        <v>42.386838691378898</v>
      </c>
      <c r="CF11" s="200">
        <f t="shared" si="15"/>
        <v>38.148154822241032</v>
      </c>
      <c r="CG11" s="200">
        <f t="shared" si="15"/>
        <v>33.909470953103174</v>
      </c>
      <c r="CH11" s="200">
        <f t="shared" si="15"/>
        <v>29.670787083965312</v>
      </c>
      <c r="CI11" s="200">
        <f t="shared" si="15"/>
        <v>25.43210321482745</v>
      </c>
      <c r="CJ11" s="200">
        <f t="shared" si="15"/>
        <v>21.193419345689588</v>
      </c>
      <c r="CK11" s="200">
        <f t="shared" si="15"/>
        <v>16.954735476551726</v>
      </c>
      <c r="CL11" s="200">
        <f t="shared" si="15"/>
        <v>12.716051607413862</v>
      </c>
      <c r="CM11" s="200">
        <f t="shared" si="15"/>
        <v>8.4773677382759995</v>
      </c>
      <c r="CN11" s="200">
        <f t="shared" si="15"/>
        <v>4.2386838691381383</v>
      </c>
      <c r="CO11" s="201">
        <f>SUM(CC11:CN11)</f>
        <v>330.61734179275652</v>
      </c>
      <c r="CP11" s="202" t="s">
        <v>63</v>
      </c>
    </row>
    <row r="12" spans="1:94">
      <c r="A12" s="194" t="s">
        <v>17</v>
      </c>
      <c r="B12" s="199">
        <f>CO12</f>
        <v>4.7293724492192268E-11</v>
      </c>
      <c r="C12" s="200">
        <f>C7</f>
        <v>6305.9418736979187</v>
      </c>
      <c r="D12" s="200">
        <f>C12+D7-D10+D8</f>
        <v>16142.399124244797</v>
      </c>
      <c r="E12" s="200">
        <f>D12+E7-E10+E8</f>
        <v>50463.444807682296</v>
      </c>
      <c r="F12" s="200">
        <f>E12+F7-F10+F8</f>
        <v>50463.444807682296</v>
      </c>
      <c r="G12" s="200">
        <f t="shared" ref="G12:M12" si="16">F12+G7-G10+G8</f>
        <v>50463.444807682296</v>
      </c>
      <c r="H12" s="200">
        <f>G12+H7-H10+H8</f>
        <v>52563.444807682296</v>
      </c>
      <c r="I12" s="200">
        <f t="shared" si="16"/>
        <v>52563.444807682296</v>
      </c>
      <c r="J12" s="200">
        <f t="shared" si="16"/>
        <v>52563.444807682296</v>
      </c>
      <c r="K12" s="200">
        <f t="shared" si="16"/>
        <v>54497.364031772508</v>
      </c>
      <c r="L12" s="200">
        <f t="shared" si="16"/>
        <v>53770.732511348877</v>
      </c>
      <c r="M12" s="200">
        <f t="shared" si="16"/>
        <v>53044.100990925246</v>
      </c>
      <c r="N12" s="200">
        <f>M12+N7-N10+N8</f>
        <v>52317.469470501615</v>
      </c>
      <c r="O12" s="201">
        <f>N12</f>
        <v>52317.469470501615</v>
      </c>
      <c r="P12" s="200">
        <f>O12+P7-P10+P8</f>
        <v>51590.837950077985</v>
      </c>
      <c r="Q12" s="200">
        <f t="shared" ref="Q12:Z12" si="17">P12+Q7-Q10+Q8</f>
        <v>50864.206429654354</v>
      </c>
      <c r="R12" s="200">
        <f t="shared" si="17"/>
        <v>50137.574909230723</v>
      </c>
      <c r="S12" s="200">
        <f t="shared" si="17"/>
        <v>49410.943388807093</v>
      </c>
      <c r="T12" s="200">
        <f t="shared" si="17"/>
        <v>48684.311868383462</v>
      </c>
      <c r="U12" s="200">
        <f t="shared" si="17"/>
        <v>47957.680347959831</v>
      </c>
      <c r="V12" s="200">
        <f t="shared" si="17"/>
        <v>47231.0488275362</v>
      </c>
      <c r="W12" s="200">
        <f t="shared" si="17"/>
        <v>46504.41730711257</v>
      </c>
      <c r="X12" s="200">
        <f t="shared" si="17"/>
        <v>45777.785786688939</v>
      </c>
      <c r="Y12" s="200">
        <f t="shared" si="17"/>
        <v>45051.154266265308</v>
      </c>
      <c r="Z12" s="200">
        <f t="shared" si="17"/>
        <v>44324.522745841678</v>
      </c>
      <c r="AA12" s="200">
        <f>Z12+AA7-AA10+AA8</f>
        <v>43597.891225418047</v>
      </c>
      <c r="AB12" s="201">
        <f>AA12</f>
        <v>43597.891225418047</v>
      </c>
      <c r="AC12" s="200">
        <f>AB12+AC7-AC10+AC8</f>
        <v>42871.259704994416</v>
      </c>
      <c r="AD12" s="200">
        <f t="shared" ref="AD12:AN12" si="18">AC12+AD7-AD10+AD8</f>
        <v>42144.628184570785</v>
      </c>
      <c r="AE12" s="200">
        <f t="shared" si="18"/>
        <v>41417.996664147155</v>
      </c>
      <c r="AF12" s="200">
        <f t="shared" si="18"/>
        <v>40691.365143723524</v>
      </c>
      <c r="AG12" s="200">
        <f t="shared" si="18"/>
        <v>39964.733623299893</v>
      </c>
      <c r="AH12" s="200">
        <f t="shared" si="18"/>
        <v>39238.102102876263</v>
      </c>
      <c r="AI12" s="200">
        <f t="shared" si="18"/>
        <v>38511.470582452632</v>
      </c>
      <c r="AJ12" s="200">
        <f t="shared" si="18"/>
        <v>37784.839062029001</v>
      </c>
      <c r="AK12" s="200">
        <f t="shared" si="18"/>
        <v>37058.20754160537</v>
      </c>
      <c r="AL12" s="200">
        <f t="shared" si="18"/>
        <v>36331.57602118174</v>
      </c>
      <c r="AM12" s="200">
        <f t="shared" si="18"/>
        <v>35604.944500758109</v>
      </c>
      <c r="AN12" s="200">
        <f t="shared" si="18"/>
        <v>34878.312980334478</v>
      </c>
      <c r="AO12" s="201">
        <f>AN12</f>
        <v>34878.312980334478</v>
      </c>
      <c r="AP12" s="200">
        <f>AO12+AP7-AP10+AP8</f>
        <v>34151.681459910847</v>
      </c>
      <c r="AQ12" s="200">
        <f t="shared" ref="AQ12:BA12" si="19">AP12+AQ7-AQ10+AQ8</f>
        <v>33425.049939487217</v>
      </c>
      <c r="AR12" s="200">
        <f t="shared" si="19"/>
        <v>32698.418419063582</v>
      </c>
      <c r="AS12" s="200">
        <f t="shared" si="19"/>
        <v>31971.786898639948</v>
      </c>
      <c r="AT12" s="200">
        <f t="shared" si="19"/>
        <v>31245.155378216314</v>
      </c>
      <c r="AU12" s="200">
        <f t="shared" si="19"/>
        <v>30518.523857792679</v>
      </c>
      <c r="AV12" s="200">
        <f t="shared" si="19"/>
        <v>29791.892337369045</v>
      </c>
      <c r="AW12" s="200">
        <f t="shared" si="19"/>
        <v>29065.260816945411</v>
      </c>
      <c r="AX12" s="200">
        <f t="shared" si="19"/>
        <v>28338.629296521776</v>
      </c>
      <c r="AY12" s="200">
        <f t="shared" si="19"/>
        <v>27611.997776098142</v>
      </c>
      <c r="AZ12" s="200">
        <f t="shared" si="19"/>
        <v>26885.366255674508</v>
      </c>
      <c r="BA12" s="200">
        <f t="shared" si="19"/>
        <v>26158.734735250873</v>
      </c>
      <c r="BB12" s="201">
        <f>BA12</f>
        <v>26158.734735250873</v>
      </c>
      <c r="BC12" s="200">
        <f>BB12+BC7-BC10+BC8</f>
        <v>25432.103214827239</v>
      </c>
      <c r="BD12" s="200">
        <f t="shared" ref="BD12:BN12" si="20">BC12+BD7-BD10+BD8</f>
        <v>24705.471694403604</v>
      </c>
      <c r="BE12" s="200">
        <f t="shared" si="20"/>
        <v>23978.84017397997</v>
      </c>
      <c r="BF12" s="200">
        <f t="shared" si="20"/>
        <v>23252.208653556336</v>
      </c>
      <c r="BG12" s="200">
        <f t="shared" si="20"/>
        <v>22525.577133132701</v>
      </c>
      <c r="BH12" s="200">
        <f t="shared" si="20"/>
        <v>21798.945612709067</v>
      </c>
      <c r="BI12" s="200">
        <f t="shared" si="20"/>
        <v>21072.314092285433</v>
      </c>
      <c r="BJ12" s="200">
        <f t="shared" si="20"/>
        <v>20345.682571861798</v>
      </c>
      <c r="BK12" s="200">
        <f t="shared" si="20"/>
        <v>19619.051051438164</v>
      </c>
      <c r="BL12" s="200">
        <f t="shared" si="20"/>
        <v>18892.41953101453</v>
      </c>
      <c r="BM12" s="200">
        <f t="shared" si="20"/>
        <v>18165.788010590895</v>
      </c>
      <c r="BN12" s="200">
        <f t="shared" si="20"/>
        <v>17439.156490167261</v>
      </c>
      <c r="BO12" s="201">
        <f>BN12</f>
        <v>17439.156490167261</v>
      </c>
      <c r="BP12" s="200">
        <f t="shared" ref="BP12:CA12" si="21">BO12+BP7-BP10+BP8</f>
        <v>16712.524969743627</v>
      </c>
      <c r="BQ12" s="200">
        <f t="shared" si="21"/>
        <v>15985.893449319992</v>
      </c>
      <c r="BR12" s="200">
        <f t="shared" si="21"/>
        <v>15259.261928896358</v>
      </c>
      <c r="BS12" s="200">
        <f t="shared" si="21"/>
        <v>14532.630408472724</v>
      </c>
      <c r="BT12" s="200">
        <f t="shared" si="21"/>
        <v>13805.998888049089</v>
      </c>
      <c r="BU12" s="200">
        <f t="shared" si="21"/>
        <v>13079.367367625455</v>
      </c>
      <c r="BV12" s="200">
        <f t="shared" si="21"/>
        <v>12352.73584720182</v>
      </c>
      <c r="BW12" s="200">
        <f t="shared" si="21"/>
        <v>11626.104326778186</v>
      </c>
      <c r="BX12" s="200">
        <f t="shared" si="21"/>
        <v>10899.472806354552</v>
      </c>
      <c r="BY12" s="200">
        <f t="shared" si="21"/>
        <v>10172.841285930917</v>
      </c>
      <c r="BZ12" s="200">
        <f t="shared" si="21"/>
        <v>9446.209765507283</v>
      </c>
      <c r="CA12" s="200">
        <f t="shared" si="21"/>
        <v>8719.5782450836487</v>
      </c>
      <c r="CB12" s="201">
        <f>CA12</f>
        <v>8719.5782450836487</v>
      </c>
      <c r="CC12" s="200">
        <f t="shared" ref="CC12:CN12" si="22">CB12+CC7-CC10+CC8</f>
        <v>7992.9467246600152</v>
      </c>
      <c r="CD12" s="200">
        <f t="shared" si="22"/>
        <v>7266.3152042363818</v>
      </c>
      <c r="CE12" s="200">
        <f t="shared" si="22"/>
        <v>6539.6836838127483</v>
      </c>
      <c r="CF12" s="200">
        <f t="shared" si="22"/>
        <v>5813.0521633891149</v>
      </c>
      <c r="CG12" s="200">
        <f t="shared" si="22"/>
        <v>5086.4206429654814</v>
      </c>
      <c r="CH12" s="200">
        <f t="shared" si="22"/>
        <v>4359.789122541848</v>
      </c>
      <c r="CI12" s="200">
        <f t="shared" si="22"/>
        <v>3633.1576021182145</v>
      </c>
      <c r="CJ12" s="200">
        <f t="shared" si="22"/>
        <v>2906.5260816945811</v>
      </c>
      <c r="CK12" s="200">
        <f t="shared" si="22"/>
        <v>2179.8945612709476</v>
      </c>
      <c r="CL12" s="200">
        <f t="shared" si="22"/>
        <v>1453.2630408473142</v>
      </c>
      <c r="CM12" s="200">
        <f t="shared" si="22"/>
        <v>726.63152042368074</v>
      </c>
      <c r="CN12" s="200">
        <f t="shared" si="22"/>
        <v>4.7293724492192268E-11</v>
      </c>
      <c r="CO12" s="201">
        <f>CN12</f>
        <v>4.7293724492192268E-11</v>
      </c>
      <c r="CP12" s="206">
        <f>MAX(C12:BO12)</f>
        <v>54497.364031772508</v>
      </c>
    </row>
    <row r="13" spans="1:94">
      <c r="A13" s="183" t="s">
        <v>85</v>
      </c>
      <c r="B13" s="183">
        <f>Исх!C33*12-Исх!C34</f>
        <v>75</v>
      </c>
      <c r="CP13" s="186"/>
    </row>
    <row r="16" spans="1:94">
      <c r="A16" s="207">
        <f>B7+B8-B10</f>
        <v>0</v>
      </c>
    </row>
    <row r="17" spans="1:1">
      <c r="A17" s="207">
        <f>B9-B8-B11</f>
        <v>0</v>
      </c>
    </row>
  </sheetData>
  <mergeCells count="7">
    <mergeCell ref="CC5:CO5"/>
    <mergeCell ref="C5:O5"/>
    <mergeCell ref="P5:AB5"/>
    <mergeCell ref="AC5:AO5"/>
    <mergeCell ref="AP5:BB5"/>
    <mergeCell ref="BC5:BO5"/>
    <mergeCell ref="BP5:CB5"/>
  </mergeCells>
  <pageMargins left="0.35433070866141736" right="0.19685039370078741" top="0.19685039370078741" bottom="0.31496062992125984" header="0.19685039370078741" footer="0.23622047244094491"/>
  <pageSetup paperSize="9" scale="110" orientation="landscape" r:id="rId1"/>
  <headerFooter alignWithMargins="0"/>
  <picture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A1:S29"/>
  <sheetViews>
    <sheetView showGridLines="0" zoomScaleNormal="100" workbookViewId="0">
      <pane xSplit="2" ySplit="4" topLeftCell="C5" activePane="bottomRight" state="frozen"/>
      <selection activeCell="A34" sqref="A34"/>
      <selection pane="topRight" activeCell="A34" sqref="A34"/>
      <selection pane="bottomLeft" activeCell="A34" sqref="A34"/>
      <selection pane="bottomRight" activeCell="R10" sqref="R10"/>
    </sheetView>
  </sheetViews>
  <sheetFormatPr defaultColWidth="8.85546875" defaultRowHeight="12.75" outlineLevelRow="1" outlineLevelCol="1"/>
  <cols>
    <col min="1" max="1" width="41.7109375" style="78" customWidth="1"/>
    <col min="2" max="2" width="10" style="78" customWidth="1"/>
    <col min="3" max="3" width="9" style="78" customWidth="1"/>
    <col min="4" max="4" width="10" style="78" customWidth="1"/>
    <col min="5" max="5" width="7.42578125" style="78" bestFit="1" customWidth="1" outlineLevel="1"/>
    <col min="6" max="6" width="6.7109375" style="78" customWidth="1" outlineLevel="1"/>
    <col min="7" max="7" width="6.5703125" style="78" bestFit="1" customWidth="1" outlineLevel="1"/>
    <col min="8" max="16" width="4.7109375" style="78" customWidth="1" outlineLevel="1"/>
    <col min="17" max="17" width="10.140625" style="78" customWidth="1"/>
    <col min="18" max="18" width="8.85546875" style="78"/>
    <col min="19" max="19" width="16" style="78" customWidth="1"/>
    <col min="20" max="20" width="12.85546875" style="78" bestFit="1" customWidth="1"/>
    <col min="21" max="16384" width="8.85546875" style="78"/>
  </cols>
  <sheetData>
    <row r="1" spans="1:19" ht="8.25" customHeight="1"/>
    <row r="2" spans="1:19">
      <c r="A2" s="62" t="s">
        <v>66</v>
      </c>
      <c r="B2" s="177"/>
      <c r="Q2" s="151" t="s">
        <v>65</v>
      </c>
      <c r="R2" s="208"/>
      <c r="S2" s="175"/>
    </row>
    <row r="3" spans="1:19" ht="17.25" customHeight="1">
      <c r="B3" s="208"/>
      <c r="C3" s="208"/>
      <c r="E3" s="376">
        <v>2012</v>
      </c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8"/>
      <c r="Q3" s="93" t="s">
        <v>0</v>
      </c>
      <c r="R3" s="208"/>
      <c r="S3" s="209"/>
    </row>
    <row r="4" spans="1:19" ht="27" customHeight="1">
      <c r="A4" s="251" t="s">
        <v>216</v>
      </c>
      <c r="B4" s="210" t="s">
        <v>179</v>
      </c>
      <c r="C4" s="210" t="s">
        <v>180</v>
      </c>
      <c r="D4" s="232" t="s">
        <v>178</v>
      </c>
      <c r="E4" s="211">
        <v>1</v>
      </c>
      <c r="F4" s="211">
        <v>2</v>
      </c>
      <c r="G4" s="211">
        <v>3</v>
      </c>
      <c r="H4" s="211">
        <v>4</v>
      </c>
      <c r="I4" s="211">
        <v>5</v>
      </c>
      <c r="J4" s="211">
        <v>6</v>
      </c>
      <c r="K4" s="211">
        <v>7</v>
      </c>
      <c r="L4" s="211">
        <v>8</v>
      </c>
      <c r="M4" s="211">
        <v>9</v>
      </c>
      <c r="N4" s="211">
        <v>10</v>
      </c>
      <c r="O4" s="211">
        <v>11</v>
      </c>
      <c r="P4" s="211">
        <v>12</v>
      </c>
      <c r="Q4" s="95">
        <v>2012</v>
      </c>
    </row>
    <row r="5" spans="1:19" s="62" customFormat="1">
      <c r="A5" s="212" t="s">
        <v>214</v>
      </c>
      <c r="B5" s="213"/>
      <c r="C5" s="213"/>
      <c r="D5" s="148">
        <f t="shared" ref="D5:Q5" si="0">SUM(D6:D7)</f>
        <v>24253.622591145842</v>
      </c>
      <c r="E5" s="148">
        <f t="shared" si="0"/>
        <v>9701.4490364583362</v>
      </c>
      <c r="F5" s="148">
        <f t="shared" si="0"/>
        <v>14552.173554687504</v>
      </c>
      <c r="G5" s="148">
        <f t="shared" si="0"/>
        <v>0</v>
      </c>
      <c r="H5" s="148">
        <f t="shared" si="0"/>
        <v>0</v>
      </c>
      <c r="I5" s="148">
        <f t="shared" si="0"/>
        <v>0</v>
      </c>
      <c r="J5" s="148">
        <f t="shared" si="0"/>
        <v>0</v>
      </c>
      <c r="K5" s="148">
        <f t="shared" si="0"/>
        <v>0</v>
      </c>
      <c r="L5" s="148">
        <f t="shared" si="0"/>
        <v>0</v>
      </c>
      <c r="M5" s="148">
        <f t="shared" si="0"/>
        <v>0</v>
      </c>
      <c r="N5" s="148">
        <f t="shared" si="0"/>
        <v>0</v>
      </c>
      <c r="O5" s="148">
        <f t="shared" si="0"/>
        <v>0</v>
      </c>
      <c r="P5" s="148">
        <f t="shared" si="0"/>
        <v>0</v>
      </c>
      <c r="Q5" s="148">
        <f t="shared" si="0"/>
        <v>24253.622591145842</v>
      </c>
      <c r="S5" s="78"/>
    </row>
    <row r="6" spans="1:19" ht="25.5" outlineLevel="1">
      <c r="A6" s="254" t="s">
        <v>372</v>
      </c>
      <c r="B6" s="337">
        <f>Производство!B91</f>
        <v>1060.399088541667</v>
      </c>
      <c r="C6" s="346">
        <f>3820*Исх!$C$6/1000</f>
        <v>19.100000000000001</v>
      </c>
      <c r="D6" s="119">
        <f>B6*C6</f>
        <v>20253.622591145842</v>
      </c>
      <c r="E6" s="119">
        <f>$D6*0.4</f>
        <v>8101.4490364583371</v>
      </c>
      <c r="F6" s="119">
        <f>$D6*0.6</f>
        <v>12152.173554687504</v>
      </c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20">
        <f>SUM(E6:P6)</f>
        <v>20253.622591145842</v>
      </c>
      <c r="R6" s="339" t="s">
        <v>373</v>
      </c>
    </row>
    <row r="7" spans="1:19" outlineLevel="1">
      <c r="A7" s="214" t="s">
        <v>377</v>
      </c>
      <c r="B7" s="86">
        <v>1</v>
      </c>
      <c r="C7" s="149">
        <v>4000</v>
      </c>
      <c r="D7" s="157">
        <f>B7*C7</f>
        <v>4000</v>
      </c>
      <c r="E7" s="157">
        <f>$D7*0.4</f>
        <v>1600</v>
      </c>
      <c r="F7" s="157">
        <f>$D7*0.6</f>
        <v>2400</v>
      </c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8">
        <f>SUM(E7:P7)</f>
        <v>4000</v>
      </c>
    </row>
    <row r="8" spans="1:19">
      <c r="A8" s="212" t="s">
        <v>118</v>
      </c>
      <c r="B8" s="213"/>
      <c r="C8" s="213"/>
      <c r="D8" s="148">
        <f t="shared" ref="D8:Q8" si="1">SUM(D9:D11)</f>
        <v>1452.0940000000001</v>
      </c>
      <c r="E8" s="148">
        <f t="shared" si="1"/>
        <v>0</v>
      </c>
      <c r="F8" s="148">
        <f t="shared" si="1"/>
        <v>580.83760000000007</v>
      </c>
      <c r="G8" s="148">
        <f t="shared" si="1"/>
        <v>871.25639999999999</v>
      </c>
      <c r="H8" s="148">
        <f t="shared" si="1"/>
        <v>0</v>
      </c>
      <c r="I8" s="148">
        <f t="shared" si="1"/>
        <v>0</v>
      </c>
      <c r="J8" s="148">
        <f t="shared" si="1"/>
        <v>0</v>
      </c>
      <c r="K8" s="148">
        <f t="shared" si="1"/>
        <v>0</v>
      </c>
      <c r="L8" s="148">
        <f t="shared" si="1"/>
        <v>0</v>
      </c>
      <c r="M8" s="148">
        <f t="shared" si="1"/>
        <v>0</v>
      </c>
      <c r="N8" s="148">
        <f t="shared" si="1"/>
        <v>0</v>
      </c>
      <c r="O8" s="148">
        <f t="shared" si="1"/>
        <v>0</v>
      </c>
      <c r="P8" s="148">
        <f t="shared" si="1"/>
        <v>0</v>
      </c>
      <c r="Q8" s="148">
        <f t="shared" si="1"/>
        <v>1452.0940000000001</v>
      </c>
    </row>
    <row r="9" spans="1:19" ht="25.5" outlineLevel="1">
      <c r="A9" s="254" t="s">
        <v>328</v>
      </c>
      <c r="B9" s="346">
        <v>1</v>
      </c>
      <c r="C9" s="346">
        <f>114.163*2*Исх!$C$6</f>
        <v>1141.6299999999999</v>
      </c>
      <c r="D9" s="119">
        <f t="shared" ref="D9:D11" si="2">B9*C9</f>
        <v>1141.6299999999999</v>
      </c>
      <c r="E9" s="119"/>
      <c r="F9" s="119">
        <f t="shared" ref="F9:F11" si="3">$D9*0.4</f>
        <v>456.65199999999999</v>
      </c>
      <c r="G9" s="119">
        <f t="shared" ref="G9:G11" si="4">$D9*0.6</f>
        <v>684.97799999999995</v>
      </c>
      <c r="H9" s="119"/>
      <c r="I9" s="119"/>
      <c r="J9" s="119"/>
      <c r="K9" s="119"/>
      <c r="L9" s="119"/>
      <c r="M9" s="119"/>
      <c r="N9" s="119"/>
      <c r="O9" s="119"/>
      <c r="P9" s="119"/>
      <c r="Q9" s="120">
        <f t="shared" ref="Q9:Q11" si="5">SUM(E9:P9)</f>
        <v>1141.6299999999999</v>
      </c>
      <c r="R9" s="348" t="s">
        <v>374</v>
      </c>
    </row>
    <row r="10" spans="1:19" outlineLevel="1">
      <c r="A10" s="254" t="s">
        <v>378</v>
      </c>
      <c r="B10" s="149">
        <v>8</v>
      </c>
      <c r="C10" s="149">
        <f>6300*1.1*Исх!$C$6/1000*Исх!$C$18</f>
        <v>38.808000000000007</v>
      </c>
      <c r="D10" s="157">
        <f t="shared" si="2"/>
        <v>310.46400000000006</v>
      </c>
      <c r="E10" s="157"/>
      <c r="F10" s="157">
        <f t="shared" si="3"/>
        <v>124.18560000000002</v>
      </c>
      <c r="G10" s="157">
        <f t="shared" si="4"/>
        <v>186.27840000000003</v>
      </c>
      <c r="H10" s="157"/>
      <c r="I10" s="157"/>
      <c r="J10" s="157"/>
      <c r="K10" s="157"/>
      <c r="L10" s="157"/>
      <c r="M10" s="157"/>
      <c r="N10" s="157"/>
      <c r="O10" s="157"/>
      <c r="P10" s="157"/>
      <c r="Q10" s="158">
        <f t="shared" si="5"/>
        <v>310.46400000000006</v>
      </c>
      <c r="R10" s="78" t="s">
        <v>376</v>
      </c>
    </row>
    <row r="11" spans="1:19" outlineLevel="1">
      <c r="A11" s="215"/>
      <c r="B11" s="149"/>
      <c r="C11" s="149"/>
      <c r="D11" s="157">
        <f t="shared" si="2"/>
        <v>0</v>
      </c>
      <c r="E11" s="157"/>
      <c r="F11" s="157">
        <f t="shared" si="3"/>
        <v>0</v>
      </c>
      <c r="G11" s="157">
        <f t="shared" si="4"/>
        <v>0</v>
      </c>
      <c r="H11" s="157"/>
      <c r="I11" s="157"/>
      <c r="J11" s="157"/>
      <c r="K11" s="157"/>
      <c r="L11" s="157"/>
      <c r="M11" s="157"/>
      <c r="N11" s="157"/>
      <c r="O11" s="157"/>
      <c r="P11" s="157"/>
      <c r="Q11" s="158">
        <f t="shared" si="5"/>
        <v>0</v>
      </c>
    </row>
    <row r="12" spans="1:19">
      <c r="A12" s="212" t="s">
        <v>225</v>
      </c>
      <c r="B12" s="213"/>
      <c r="C12" s="213"/>
      <c r="D12" s="148">
        <f>SUM(D13:D15)</f>
        <v>14500</v>
      </c>
      <c r="E12" s="148">
        <f t="shared" ref="E12:Q12" si="6">SUM(E13:E15)</f>
        <v>0</v>
      </c>
      <c r="F12" s="148">
        <f t="shared" si="6"/>
        <v>0</v>
      </c>
      <c r="G12" s="148">
        <f t="shared" si="6"/>
        <v>14500</v>
      </c>
      <c r="H12" s="148">
        <f t="shared" si="6"/>
        <v>0</v>
      </c>
      <c r="I12" s="148">
        <f t="shared" si="6"/>
        <v>0</v>
      </c>
      <c r="J12" s="148">
        <f t="shared" si="6"/>
        <v>0</v>
      </c>
      <c r="K12" s="148">
        <f t="shared" si="6"/>
        <v>0</v>
      </c>
      <c r="L12" s="148">
        <f t="shared" si="6"/>
        <v>0</v>
      </c>
      <c r="M12" s="148">
        <f t="shared" si="6"/>
        <v>0</v>
      </c>
      <c r="N12" s="148">
        <f t="shared" si="6"/>
        <v>0</v>
      </c>
      <c r="O12" s="148">
        <f t="shared" si="6"/>
        <v>0</v>
      </c>
      <c r="P12" s="148">
        <f t="shared" si="6"/>
        <v>0</v>
      </c>
      <c r="Q12" s="148">
        <f t="shared" si="6"/>
        <v>14500</v>
      </c>
    </row>
    <row r="13" spans="1:19" outlineLevel="1">
      <c r="A13" s="254" t="s">
        <v>329</v>
      </c>
      <c r="B13" s="149">
        <v>1</v>
      </c>
      <c r="C13" s="149">
        <f>2900*Исх!C6</f>
        <v>14500</v>
      </c>
      <c r="D13" s="157">
        <f>B13*C13</f>
        <v>14500</v>
      </c>
      <c r="E13" s="157"/>
      <c r="F13" s="157"/>
      <c r="G13" s="157">
        <f>D13</f>
        <v>14500</v>
      </c>
      <c r="H13" s="157"/>
      <c r="I13" s="157"/>
      <c r="J13" s="157"/>
      <c r="K13" s="157"/>
      <c r="L13" s="157"/>
      <c r="M13" s="157"/>
      <c r="N13" s="157"/>
      <c r="O13" s="157"/>
      <c r="P13" s="157"/>
      <c r="Q13" s="158">
        <f>SUM(E13:P13)</f>
        <v>14500</v>
      </c>
    </row>
    <row r="14" spans="1:19" outlineLevel="1">
      <c r="A14" s="254"/>
      <c r="B14" s="149"/>
      <c r="C14" s="149"/>
      <c r="D14" s="157">
        <f>B14*C14</f>
        <v>0</v>
      </c>
      <c r="E14" s="157"/>
      <c r="F14" s="157"/>
      <c r="G14" s="157">
        <f>D14</f>
        <v>0</v>
      </c>
      <c r="H14" s="157"/>
      <c r="I14" s="157"/>
      <c r="J14" s="157"/>
      <c r="K14" s="157"/>
      <c r="L14" s="157"/>
      <c r="M14" s="157"/>
      <c r="N14" s="157"/>
      <c r="O14" s="157"/>
      <c r="P14" s="157"/>
      <c r="Q14" s="158">
        <f>SUM(E14:P14)</f>
        <v>0</v>
      </c>
    </row>
    <row r="15" spans="1:19" outlineLevel="1">
      <c r="A15" s="215"/>
      <c r="B15" s="149"/>
      <c r="C15" s="149"/>
      <c r="D15" s="157">
        <f>B15*C15</f>
        <v>0</v>
      </c>
      <c r="E15" s="157"/>
      <c r="F15" s="157"/>
      <c r="G15" s="157">
        <f>D15</f>
        <v>0</v>
      </c>
      <c r="H15" s="157"/>
      <c r="I15" s="157"/>
      <c r="J15" s="157"/>
      <c r="K15" s="157"/>
      <c r="L15" s="157"/>
      <c r="M15" s="157"/>
      <c r="N15" s="157"/>
      <c r="O15" s="157"/>
      <c r="P15" s="157"/>
      <c r="Q15" s="158">
        <f>SUM(E15:P15)</f>
        <v>0</v>
      </c>
    </row>
    <row r="16" spans="1:19">
      <c r="A16" s="212" t="s">
        <v>330</v>
      </c>
      <c r="B16" s="213"/>
      <c r="C16" s="213"/>
      <c r="D16" s="148">
        <f t="shared" ref="D16:Q16" si="7">SUM(D17:D18)</f>
        <v>36700</v>
      </c>
      <c r="E16" s="148">
        <f t="shared" si="7"/>
        <v>0</v>
      </c>
      <c r="F16" s="148">
        <f t="shared" si="7"/>
        <v>0</v>
      </c>
      <c r="G16" s="148">
        <f t="shared" si="7"/>
        <v>36700</v>
      </c>
      <c r="H16" s="148">
        <f t="shared" si="7"/>
        <v>0</v>
      </c>
      <c r="I16" s="148">
        <f t="shared" si="7"/>
        <v>0</v>
      </c>
      <c r="J16" s="148">
        <f t="shared" si="7"/>
        <v>0</v>
      </c>
      <c r="K16" s="148">
        <f t="shared" si="7"/>
        <v>0</v>
      </c>
      <c r="L16" s="148">
        <f t="shared" si="7"/>
        <v>0</v>
      </c>
      <c r="M16" s="148">
        <f t="shared" si="7"/>
        <v>0</v>
      </c>
      <c r="N16" s="148">
        <f t="shared" si="7"/>
        <v>0</v>
      </c>
      <c r="O16" s="148">
        <f t="shared" si="7"/>
        <v>0</v>
      </c>
      <c r="P16" s="148">
        <f t="shared" si="7"/>
        <v>0</v>
      </c>
      <c r="Q16" s="148">
        <f t="shared" si="7"/>
        <v>36700</v>
      </c>
    </row>
    <row r="17" spans="1:17" outlineLevel="1">
      <c r="A17" s="254" t="s">
        <v>331</v>
      </c>
      <c r="B17" s="150">
        <f>Исх!C28</f>
        <v>50</v>
      </c>
      <c r="C17" s="149">
        <v>700</v>
      </c>
      <c r="D17" s="157">
        <f>B17*C17</f>
        <v>35000</v>
      </c>
      <c r="E17" s="157"/>
      <c r="F17" s="157"/>
      <c r="G17" s="157">
        <f>D17</f>
        <v>35000</v>
      </c>
      <c r="H17" s="157"/>
      <c r="I17" s="157"/>
      <c r="J17" s="157"/>
      <c r="K17" s="157"/>
      <c r="L17" s="157"/>
      <c r="M17" s="157"/>
      <c r="N17" s="157"/>
      <c r="O17" s="157"/>
      <c r="P17" s="157"/>
      <c r="Q17" s="158">
        <f>SUM(E17:P17)</f>
        <v>35000</v>
      </c>
    </row>
    <row r="18" spans="1:17" outlineLevel="1">
      <c r="A18" s="254" t="s">
        <v>332</v>
      </c>
      <c r="B18" s="150">
        <f>Исх!C29</f>
        <v>2</v>
      </c>
      <c r="C18" s="149">
        <v>850</v>
      </c>
      <c r="D18" s="157">
        <f>B18*C18</f>
        <v>1700</v>
      </c>
      <c r="E18" s="157"/>
      <c r="F18" s="157"/>
      <c r="G18" s="157">
        <f>D18</f>
        <v>1700</v>
      </c>
      <c r="H18" s="157"/>
      <c r="I18" s="157"/>
      <c r="J18" s="157"/>
      <c r="K18" s="157"/>
      <c r="L18" s="157"/>
      <c r="M18" s="157"/>
      <c r="N18" s="157"/>
      <c r="O18" s="157"/>
      <c r="P18" s="157"/>
      <c r="Q18" s="158">
        <f>SUM(E18:P18)</f>
        <v>1700</v>
      </c>
    </row>
    <row r="19" spans="1:17">
      <c r="A19" s="145" t="s">
        <v>0</v>
      </c>
      <c r="B19" s="171"/>
      <c r="C19" s="171"/>
      <c r="D19" s="171">
        <f t="shared" ref="D19:Q19" si="8">D5+D8+D12+D16</f>
        <v>76905.716591145843</v>
      </c>
      <c r="E19" s="171">
        <f t="shared" si="8"/>
        <v>9701.4490364583362</v>
      </c>
      <c r="F19" s="171">
        <f t="shared" si="8"/>
        <v>15133.011154687505</v>
      </c>
      <c r="G19" s="171">
        <f t="shared" si="8"/>
        <v>52071.256399999998</v>
      </c>
      <c r="H19" s="171">
        <f t="shared" si="8"/>
        <v>0</v>
      </c>
      <c r="I19" s="171">
        <f t="shared" si="8"/>
        <v>0</v>
      </c>
      <c r="J19" s="171">
        <f t="shared" si="8"/>
        <v>0</v>
      </c>
      <c r="K19" s="171">
        <f t="shared" si="8"/>
        <v>0</v>
      </c>
      <c r="L19" s="171">
        <f t="shared" si="8"/>
        <v>0</v>
      </c>
      <c r="M19" s="171">
        <f t="shared" si="8"/>
        <v>0</v>
      </c>
      <c r="N19" s="171">
        <f t="shared" si="8"/>
        <v>0</v>
      </c>
      <c r="O19" s="171">
        <f t="shared" si="8"/>
        <v>0</v>
      </c>
      <c r="P19" s="171">
        <f t="shared" si="8"/>
        <v>0</v>
      </c>
      <c r="Q19" s="171">
        <f t="shared" si="8"/>
        <v>76905.716591145843</v>
      </c>
    </row>
    <row r="20" spans="1:17">
      <c r="D20" s="208">
        <f>D19-Q19</f>
        <v>0</v>
      </c>
    </row>
    <row r="21" spans="1:17">
      <c r="B21" s="151" t="s">
        <v>65</v>
      </c>
      <c r="C21" s="208" t="s">
        <v>47</v>
      </c>
      <c r="D21" s="216" t="s">
        <v>106</v>
      </c>
    </row>
    <row r="22" spans="1:17">
      <c r="A22" s="78" t="s">
        <v>124</v>
      </c>
      <c r="B22" s="208">
        <f>Q5</f>
        <v>24253.622591145842</v>
      </c>
      <c r="C22" s="208">
        <f>B22/Исх!$C$18</f>
        <v>21655.020170665928</v>
      </c>
      <c r="D22" s="172">
        <f>B22/Исх!$C$5</f>
        <v>163.87582831855298</v>
      </c>
      <c r="L22" s="177"/>
    </row>
    <row r="23" spans="1:17">
      <c r="A23" s="78" t="s">
        <v>118</v>
      </c>
      <c r="B23" s="208">
        <f>Q8</f>
        <v>1452.0940000000001</v>
      </c>
      <c r="C23" s="208">
        <f>B23/Исх!$C$18</f>
        <v>1296.5124999999998</v>
      </c>
      <c r="D23" s="172">
        <f>B23/Исх!$C$5</f>
        <v>9.8114459459459464</v>
      </c>
      <c r="L23" s="177"/>
    </row>
    <row r="24" spans="1:17">
      <c r="A24" s="78" t="s">
        <v>225</v>
      </c>
      <c r="B24" s="208">
        <f>Q12</f>
        <v>14500</v>
      </c>
      <c r="C24" s="208">
        <f>B24/Исх!$C$18</f>
        <v>12946.428571428571</v>
      </c>
      <c r="D24" s="172">
        <f>B24/Исх!$C$5</f>
        <v>97.972972972972968</v>
      </c>
      <c r="L24" s="177"/>
    </row>
    <row r="25" spans="1:17">
      <c r="A25" s="78" t="s">
        <v>225</v>
      </c>
      <c r="B25" s="208">
        <f>Q16</f>
        <v>36700</v>
      </c>
      <c r="C25" s="208">
        <f>B25/Исх!$C$18</f>
        <v>32767.857142857141</v>
      </c>
      <c r="D25" s="172">
        <f>B25/Исх!$C$5</f>
        <v>247.97297297297297</v>
      </c>
      <c r="L25" s="177"/>
    </row>
    <row r="26" spans="1:17">
      <c r="A26" s="62" t="s">
        <v>96</v>
      </c>
      <c r="B26" s="217">
        <f>SUM(B22:B25)</f>
        <v>76905.716591145843</v>
      </c>
      <c r="C26" s="217">
        <f>SUM(C22:C25)</f>
        <v>68665.818384951635</v>
      </c>
      <c r="D26" s="217">
        <f>SUM(D22:D25)</f>
        <v>519.63322021044485</v>
      </c>
    </row>
    <row r="28" spans="1:17">
      <c r="A28" s="78" t="s">
        <v>249</v>
      </c>
    </row>
    <row r="29" spans="1:17">
      <c r="A29" s="78" t="s">
        <v>250</v>
      </c>
    </row>
  </sheetData>
  <mergeCells count="1">
    <mergeCell ref="E3:P3"/>
  </mergeCells>
  <phoneticPr fontId="3" type="noConversion"/>
  <hyperlinks>
    <hyperlink ref="R9" r:id="rId1"/>
  </hyperlinks>
  <pageMargins left="0.48" right="0.23622047244094491" top="0.69" bottom="0.27559055118110237" header="0.52" footer="0.19685039370078741"/>
  <pageSetup paperSize="9" scale="96" orientation="landscape" r:id="rId2"/>
  <headerFooter alignWithMargins="0"/>
  <picture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H13"/>
  <sheetViews>
    <sheetView showGridLines="0" workbookViewId="0">
      <pane ySplit="3" topLeftCell="A4" activePane="bottomLeft" state="frozen"/>
      <selection activeCell="A34" sqref="A34"/>
      <selection pane="bottomLeft" activeCell="D4" sqref="C4:H13"/>
    </sheetView>
  </sheetViews>
  <sheetFormatPr defaultRowHeight="12.75"/>
  <cols>
    <col min="1" max="1" width="38.5703125" style="78" customWidth="1"/>
    <col min="2" max="2" width="10" style="78" hidden="1" customWidth="1"/>
    <col min="3" max="16384" width="9.140625" style="78"/>
  </cols>
  <sheetData>
    <row r="1" spans="1:8">
      <c r="A1" s="62" t="s">
        <v>81</v>
      </c>
      <c r="B1" s="62"/>
      <c r="C1" s="62"/>
      <c r="D1" s="62"/>
      <c r="E1" s="62"/>
      <c r="F1" s="62"/>
    </row>
    <row r="2" spans="1:8">
      <c r="A2" s="218"/>
      <c r="B2" s="218"/>
      <c r="C2" s="218"/>
      <c r="D2" s="218"/>
      <c r="E2" s="218"/>
      <c r="F2" s="218"/>
      <c r="H2" s="151" t="s">
        <v>65</v>
      </c>
    </row>
    <row r="3" spans="1:8">
      <c r="A3" s="227" t="s">
        <v>10</v>
      </c>
      <c r="B3" s="252">
        <v>2012</v>
      </c>
      <c r="C3" s="252">
        <f t="shared" ref="C3:H3" si="0">B3+1</f>
        <v>2013</v>
      </c>
      <c r="D3" s="252">
        <f t="shared" si="0"/>
        <v>2014</v>
      </c>
      <c r="E3" s="252">
        <f t="shared" si="0"/>
        <v>2015</v>
      </c>
      <c r="F3" s="252">
        <f t="shared" si="0"/>
        <v>2016</v>
      </c>
      <c r="G3" s="252">
        <f t="shared" si="0"/>
        <v>2017</v>
      </c>
      <c r="H3" s="252">
        <f t="shared" si="0"/>
        <v>2018</v>
      </c>
    </row>
    <row r="4" spans="1:8">
      <c r="A4" s="219" t="s">
        <v>127</v>
      </c>
      <c r="B4" s="220">
        <f>'2-ф2'!P5</f>
        <v>15714</v>
      </c>
      <c r="C4" s="220">
        <f>'2-ф2'!AC5</f>
        <v>32807.691249999996</v>
      </c>
      <c r="D4" s="220">
        <f>'2-ф2'!AD5</f>
        <v>36046.674812500001</v>
      </c>
      <c r="E4" s="220">
        <f>'2-ф2'!AE5</f>
        <v>41555.897125000003</v>
      </c>
      <c r="F4" s="220">
        <f>'2-ф2'!AF5</f>
        <v>39313.279603125011</v>
      </c>
      <c r="G4" s="220">
        <f>'2-ф2'!AG5</f>
        <v>49268.407996875016</v>
      </c>
      <c r="H4" s="220">
        <f>'2-ф2'!AH5</f>
        <v>50707.040980781268</v>
      </c>
    </row>
    <row r="5" spans="1:8">
      <c r="A5" s="219" t="s">
        <v>97</v>
      </c>
      <c r="B5" s="221">
        <f t="shared" ref="B5:H5" si="1">B4-B6</f>
        <v>-5910.0162215896707</v>
      </c>
      <c r="C5" s="221">
        <f t="shared" si="1"/>
        <v>3615.8982525026586</v>
      </c>
      <c r="D5" s="221">
        <f t="shared" si="1"/>
        <v>6416.0910588313855</v>
      </c>
      <c r="E5" s="221">
        <f t="shared" si="1"/>
        <v>11273.76944976244</v>
      </c>
      <c r="F5" s="221">
        <f t="shared" si="1"/>
        <v>8796.3657317525685</v>
      </c>
      <c r="G5" s="221">
        <f t="shared" si="1"/>
        <v>17529.33539092138</v>
      </c>
      <c r="H5" s="221">
        <f t="shared" si="1"/>
        <v>18041.355240990662</v>
      </c>
    </row>
    <row r="6" spans="1:8">
      <c r="A6" s="219" t="s">
        <v>133</v>
      </c>
      <c r="B6" s="222">
        <f t="shared" ref="B6:H6" si="2">SUM(B7:B8)</f>
        <v>21624.016221589671</v>
      </c>
      <c r="C6" s="222">
        <f t="shared" si="2"/>
        <v>29191.792997497338</v>
      </c>
      <c r="D6" s="222">
        <f t="shared" si="2"/>
        <v>29630.583753668616</v>
      </c>
      <c r="E6" s="222">
        <f t="shared" si="2"/>
        <v>30282.127675237563</v>
      </c>
      <c r="F6" s="222">
        <f t="shared" si="2"/>
        <v>30516.913871372442</v>
      </c>
      <c r="G6" s="222">
        <f t="shared" si="2"/>
        <v>31739.072605953636</v>
      </c>
      <c r="H6" s="222">
        <f t="shared" si="2"/>
        <v>32665.685739790606</v>
      </c>
    </row>
    <row r="7" spans="1:8">
      <c r="A7" s="219" t="s">
        <v>98</v>
      </c>
      <c r="B7" s="220">
        <f>'2-ф2'!P14+'2-ф2'!P13+'2-ф2'!P12</f>
        <v>13316.433300830744</v>
      </c>
      <c r="C7" s="220">
        <f>'2-ф2'!AC14+'2-ф2'!AC13+'2-ф2'!AC12</f>
        <v>17329.632358422852</v>
      </c>
      <c r="D7" s="220">
        <f>'2-ф2'!AD14+'2-ф2'!AD13+'2-ф2'!AD12</f>
        <v>16747.389501728601</v>
      </c>
      <c r="E7" s="220">
        <f>'2-ф2'!AE14+'2-ф2'!AE13+'2-ф2'!AE12</f>
        <v>16168.44664503435</v>
      </c>
      <c r="F7" s="220">
        <f>'2-ф2'!AF14+'2-ф2'!AF13+'2-ф2'!AF12</f>
        <v>15593.133788340099</v>
      </c>
      <c r="G7" s="220">
        <f>'2-ф2'!AG14+'2-ф2'!AG13+'2-ф2'!AG12</f>
        <v>15021.813931645844</v>
      </c>
      <c r="H7" s="220">
        <f>'2-ф2'!AH14+'2-ф2'!AH13+'2-ф2'!AH12</f>
        <v>14454.886374951593</v>
      </c>
    </row>
    <row r="8" spans="1:8">
      <c r="A8" s="219" t="s">
        <v>99</v>
      </c>
      <c r="B8" s="220">
        <f>'2-ф2'!P8</f>
        <v>8307.5829207589286</v>
      </c>
      <c r="C8" s="220">
        <f>'2-ф2'!AC8</f>
        <v>11862.160639074484</v>
      </c>
      <c r="D8" s="220">
        <f>'2-ф2'!AD8</f>
        <v>12883.194251940016</v>
      </c>
      <c r="E8" s="220">
        <f>'2-ф2'!AE8</f>
        <v>14113.681030203214</v>
      </c>
      <c r="F8" s="220">
        <f>'2-ф2'!AF8</f>
        <v>14923.780083032343</v>
      </c>
      <c r="G8" s="220">
        <f>'2-ф2'!AG8</f>
        <v>16717.258674307792</v>
      </c>
      <c r="H8" s="220">
        <f>'2-ф2'!AH8</f>
        <v>18210.799364839015</v>
      </c>
    </row>
    <row r="9" spans="1:8">
      <c r="A9" s="219" t="s">
        <v>100</v>
      </c>
      <c r="B9" s="222">
        <f t="shared" ref="B9:H9" si="3">B4-B8</f>
        <v>7406.4170792410714</v>
      </c>
      <c r="C9" s="222">
        <f t="shared" si="3"/>
        <v>20945.530610925511</v>
      </c>
      <c r="D9" s="222">
        <f t="shared" si="3"/>
        <v>23163.480560559983</v>
      </c>
      <c r="E9" s="222">
        <f t="shared" si="3"/>
        <v>27442.21609479679</v>
      </c>
      <c r="F9" s="222">
        <f t="shared" si="3"/>
        <v>24389.499520092668</v>
      </c>
      <c r="G9" s="222">
        <f t="shared" si="3"/>
        <v>32551.149322567224</v>
      </c>
      <c r="H9" s="222">
        <f t="shared" si="3"/>
        <v>32496.241615942254</v>
      </c>
    </row>
    <row r="10" spans="1:8">
      <c r="A10" s="219" t="s">
        <v>82</v>
      </c>
      <c r="B10" s="223">
        <f t="shared" ref="B10:H10" si="4">B9/B4</f>
        <v>0.4713260200611602</v>
      </c>
      <c r="C10" s="223">
        <f t="shared" si="4"/>
        <v>0.63843354447946754</v>
      </c>
      <c r="D10" s="223">
        <f t="shared" si="4"/>
        <v>0.64259687422062917</v>
      </c>
      <c r="E10" s="223">
        <f t="shared" si="4"/>
        <v>0.66036875614189472</v>
      </c>
      <c r="F10" s="223">
        <f t="shared" si="4"/>
        <v>0.62038832085008622</v>
      </c>
      <c r="G10" s="223">
        <f t="shared" si="4"/>
        <v>0.66069009830055536</v>
      </c>
      <c r="H10" s="223">
        <f t="shared" si="4"/>
        <v>0.64086251115025261</v>
      </c>
    </row>
    <row r="11" spans="1:8">
      <c r="A11" s="219" t="s">
        <v>101</v>
      </c>
      <c r="B11" s="222">
        <f t="shared" ref="B11:H11" si="5">B7/B10</f>
        <v>28253.125721984918</v>
      </c>
      <c r="C11" s="222">
        <f t="shared" si="5"/>
        <v>27143.987825000924</v>
      </c>
      <c r="D11" s="222">
        <f t="shared" si="5"/>
        <v>26062.046321094542</v>
      </c>
      <c r="E11" s="222">
        <f t="shared" si="5"/>
        <v>24483.966715045804</v>
      </c>
      <c r="F11" s="222">
        <f t="shared" si="5"/>
        <v>25134.47346489958</v>
      </c>
      <c r="G11" s="222">
        <f t="shared" si="5"/>
        <v>22736.550722169672</v>
      </c>
      <c r="H11" s="222">
        <f t="shared" si="5"/>
        <v>22555.362692392831</v>
      </c>
    </row>
    <row r="12" spans="1:8" ht="25.5">
      <c r="A12" s="224" t="s">
        <v>83</v>
      </c>
      <c r="B12" s="225">
        <f t="shared" ref="B12:H12" si="6">(B4-B11)/B4</f>
        <v>-0.79795887246944874</v>
      </c>
      <c r="C12" s="225">
        <f t="shared" si="6"/>
        <v>0.17263340421734408</v>
      </c>
      <c r="D12" s="225">
        <f t="shared" si="6"/>
        <v>0.27699166548208387</v>
      </c>
      <c r="E12" s="225">
        <f t="shared" si="6"/>
        <v>0.41081847802736365</v>
      </c>
      <c r="F12" s="225">
        <f t="shared" si="6"/>
        <v>0.36066200228938311</v>
      </c>
      <c r="G12" s="225">
        <f t="shared" si="6"/>
        <v>0.53851663476498368</v>
      </c>
      <c r="H12" s="225">
        <f t="shared" si="6"/>
        <v>0.55518282557758292</v>
      </c>
    </row>
    <row r="13" spans="1:8">
      <c r="A13" s="219" t="s">
        <v>116</v>
      </c>
      <c r="B13" s="226">
        <f t="shared" ref="B13:H13" si="7">100%-B12</f>
        <v>1.7979588724694486</v>
      </c>
      <c r="C13" s="226">
        <f t="shared" si="7"/>
        <v>0.82736659578265592</v>
      </c>
      <c r="D13" s="226">
        <f t="shared" si="7"/>
        <v>0.72300833451791613</v>
      </c>
      <c r="E13" s="226">
        <f t="shared" si="7"/>
        <v>0.5891815219726364</v>
      </c>
      <c r="F13" s="226">
        <f t="shared" si="7"/>
        <v>0.63933799771061683</v>
      </c>
      <c r="G13" s="226">
        <f t="shared" si="7"/>
        <v>0.46148336523501632</v>
      </c>
      <c r="H13" s="226">
        <f t="shared" si="7"/>
        <v>0.44481717442241708</v>
      </c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picture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1:H58"/>
  <sheetViews>
    <sheetView showGridLines="0" tabSelected="1" zoomScaleNormal="100" workbookViewId="0">
      <pane ySplit="2" topLeftCell="A3" activePane="bottomLeft" state="frozen"/>
      <selection activeCell="A34" sqref="A34"/>
      <selection pane="bottomLeft" activeCell="B58" sqref="B58"/>
    </sheetView>
  </sheetViews>
  <sheetFormatPr defaultRowHeight="12.75"/>
  <cols>
    <col min="1" max="1" width="53.7109375" style="72" customWidth="1"/>
    <col min="2" max="2" width="16.85546875" style="73" customWidth="1"/>
    <col min="3" max="3" width="12.7109375" style="71" customWidth="1"/>
    <col min="4" max="4" width="11" style="71" customWidth="1"/>
    <col min="5" max="16384" width="9.140625" style="71"/>
  </cols>
  <sheetData>
    <row r="1" spans="1:7" ht="13.9" customHeight="1"/>
    <row r="2" spans="1:7" ht="14.1" customHeight="1">
      <c r="A2" s="237" t="s">
        <v>381</v>
      </c>
      <c r="B2" s="238">
        <v>2012</v>
      </c>
    </row>
    <row r="3" spans="1:7" ht="14.1" customHeight="1">
      <c r="A3" s="233" t="s">
        <v>192</v>
      </c>
      <c r="B3" s="234">
        <f>'1-Ф3'!B22</f>
        <v>76905.716591145843</v>
      </c>
    </row>
    <row r="4" spans="1:7" ht="14.1" customHeight="1">
      <c r="A4" s="233" t="s">
        <v>191</v>
      </c>
      <c r="B4" s="234">
        <f>'1-Ф3'!B28-'1-Ф3'!B22</f>
        <v>3730.3523437499825</v>
      </c>
    </row>
    <row r="5" spans="1:7" ht="14.1" customHeight="1">
      <c r="A5" s="235" t="s">
        <v>96</v>
      </c>
      <c r="B5" s="236">
        <f>SUM(B3:B4)</f>
        <v>80636.068934895826</v>
      </c>
    </row>
    <row r="6" spans="1:7" ht="13.5" customHeight="1">
      <c r="A6" s="74"/>
      <c r="B6" s="75"/>
    </row>
    <row r="7" spans="1:7" ht="13.5" customHeight="1">
      <c r="A7" s="237" t="s">
        <v>382</v>
      </c>
      <c r="B7" s="238" t="s">
        <v>178</v>
      </c>
      <c r="C7" s="238" t="s">
        <v>10</v>
      </c>
      <c r="D7" s="238" t="s">
        <v>194</v>
      </c>
    </row>
    <row r="8" spans="1:7" ht="13.5" customHeight="1">
      <c r="A8" s="233" t="s">
        <v>193</v>
      </c>
      <c r="B8" s="234">
        <f>'1-Ф3'!B29</f>
        <v>28072.624127213538</v>
      </c>
      <c r="C8" s="241" t="s">
        <v>380</v>
      </c>
      <c r="D8" s="239">
        <f>B8/$B$10</f>
        <v>0.34813979027026842</v>
      </c>
      <c r="F8" s="242" t="s">
        <v>203</v>
      </c>
      <c r="G8" s="242"/>
    </row>
    <row r="9" spans="1:7" ht="13.5" customHeight="1">
      <c r="A9" s="233" t="s">
        <v>117</v>
      </c>
      <c r="B9" s="234">
        <f>'1-Ф3'!B30</f>
        <v>52563.444807682296</v>
      </c>
      <c r="C9" s="241" t="s">
        <v>380</v>
      </c>
      <c r="D9" s="239">
        <f>B9/$B$10</f>
        <v>0.65186020972973169</v>
      </c>
      <c r="F9" s="242" t="s">
        <v>203</v>
      </c>
      <c r="G9" s="242"/>
    </row>
    <row r="10" spans="1:7">
      <c r="A10" s="235" t="s">
        <v>96</v>
      </c>
      <c r="B10" s="236">
        <f>SUM(B8:B9)</f>
        <v>80636.068934895826</v>
      </c>
      <c r="C10" s="236"/>
      <c r="D10" s="240">
        <f>SUM(D8:D9)</f>
        <v>1</v>
      </c>
    </row>
    <row r="11" spans="1:7">
      <c r="A11" s="77"/>
      <c r="B11" s="76"/>
    </row>
    <row r="12" spans="1:7">
      <c r="A12" s="233" t="s">
        <v>195</v>
      </c>
      <c r="B12" s="234" t="s">
        <v>196</v>
      </c>
      <c r="F12" s="242"/>
      <c r="G12" s="242"/>
    </row>
    <row r="13" spans="1:7">
      <c r="A13" s="233" t="s">
        <v>197</v>
      </c>
      <c r="B13" s="239">
        <f>Исх!C32</f>
        <v>7.0000000000000007E-2</v>
      </c>
    </row>
    <row r="14" spans="1:7">
      <c r="A14" s="233" t="s">
        <v>230</v>
      </c>
      <c r="B14" s="243">
        <f>Исх!C33</f>
        <v>7</v>
      </c>
    </row>
    <row r="15" spans="1:7">
      <c r="A15" s="233" t="s">
        <v>198</v>
      </c>
      <c r="B15" s="234" t="s">
        <v>199</v>
      </c>
      <c r="F15" s="242"/>
      <c r="G15" s="242"/>
    </row>
    <row r="16" spans="1:7">
      <c r="A16" s="233" t="s">
        <v>201</v>
      </c>
      <c r="B16" s="234">
        <f>Исх!C34</f>
        <v>9</v>
      </c>
    </row>
    <row r="17" spans="1:8">
      <c r="A17" s="233" t="s">
        <v>202</v>
      </c>
      <c r="B17" s="234">
        <f>Исх!C35</f>
        <v>9</v>
      </c>
    </row>
    <row r="18" spans="1:8">
      <c r="A18" s="233" t="s">
        <v>383</v>
      </c>
      <c r="B18" s="234" t="s">
        <v>200</v>
      </c>
      <c r="F18" s="242"/>
      <c r="G18" s="242"/>
    </row>
    <row r="20" spans="1:8">
      <c r="A20" s="233" t="s">
        <v>244</v>
      </c>
      <c r="B20" s="234">
        <f>'2-ф2'!AH17</f>
        <v>16958.873926531222</v>
      </c>
      <c r="F20" s="71" t="s">
        <v>245</v>
      </c>
    </row>
    <row r="21" spans="1:8">
      <c r="A21" s="233" t="s">
        <v>204</v>
      </c>
      <c r="B21" s="239">
        <f>('3-Баланс'!AH26-'3-Баланс'!AG26)/'3-Баланс'!AH16</f>
        <v>0.21196497900400135</v>
      </c>
    </row>
    <row r="22" spans="1:8">
      <c r="A22" s="71"/>
      <c r="B22" s="71"/>
    </row>
    <row r="23" spans="1:8">
      <c r="A23" s="233" t="s">
        <v>218</v>
      </c>
      <c r="B23" s="250">
        <f>'3-Баланс'!AH6/'3-Баланс'!AH16</f>
        <v>0.46858513338866548</v>
      </c>
      <c r="F23" s="71" t="s">
        <v>245</v>
      </c>
    </row>
    <row r="24" spans="1:8">
      <c r="A24" s="233" t="s">
        <v>215</v>
      </c>
      <c r="B24" s="250">
        <f>'3-Баланс'!AF24/'3-Баланс'!AF21</f>
        <v>3.2490676003668759</v>
      </c>
      <c r="F24" s="71" t="s">
        <v>246</v>
      </c>
    </row>
    <row r="26" spans="1:8">
      <c r="A26" s="233" t="s">
        <v>205</v>
      </c>
      <c r="B26" s="239">
        <f>'1-Ф3'!AS49</f>
        <v>0.19771374906740521</v>
      </c>
      <c r="F26" s="71" t="s">
        <v>247</v>
      </c>
    </row>
    <row r="27" spans="1:8">
      <c r="A27" s="233" t="s">
        <v>206</v>
      </c>
      <c r="B27" s="234">
        <f>'1-Ф3'!AS47</f>
        <v>33874.331550755014</v>
      </c>
    </row>
    <row r="28" spans="1:8">
      <c r="A28" s="233" t="s">
        <v>207</v>
      </c>
      <c r="B28" s="243">
        <f>'1-Ф3'!B50</f>
        <v>5.4331465384346149</v>
      </c>
    </row>
    <row r="29" spans="1:8">
      <c r="A29" s="233" t="s">
        <v>208</v>
      </c>
      <c r="B29" s="243">
        <f>'1-Ф3'!B51</f>
        <v>6.710806794667258</v>
      </c>
    </row>
    <row r="31" spans="1:8">
      <c r="A31" s="244" t="s">
        <v>231</v>
      </c>
    </row>
    <row r="32" spans="1:8">
      <c r="A32" s="237" t="s">
        <v>344</v>
      </c>
      <c r="B32" s="238">
        <v>2012</v>
      </c>
      <c r="C32" s="238">
        <v>2013</v>
      </c>
      <c r="D32" s="245">
        <v>2014</v>
      </c>
      <c r="E32" s="245">
        <v>2015</v>
      </c>
      <c r="F32" s="245">
        <v>2016</v>
      </c>
      <c r="G32" s="245">
        <v>2017</v>
      </c>
      <c r="H32" s="245">
        <v>2018</v>
      </c>
    </row>
    <row r="33" spans="1:8">
      <c r="A33" s="233" t="s">
        <v>341</v>
      </c>
      <c r="B33" s="234">
        <f>Производство!E75/12*9</f>
        <v>196425</v>
      </c>
      <c r="C33" s="234">
        <f>Производство!F75</f>
        <v>261900</v>
      </c>
      <c r="D33" s="234">
        <f>Производство!G75</f>
        <v>292455</v>
      </c>
      <c r="E33" s="234">
        <f>Производство!H75</f>
        <v>323010.00000000006</v>
      </c>
      <c r="F33" s="234">
        <f>Производство!I75</f>
        <v>328029.75000000012</v>
      </c>
      <c r="G33" s="234">
        <f>Производство!J75</f>
        <v>394814.25000000017</v>
      </c>
      <c r="H33" s="234">
        <f>Производство!K75</f>
        <v>414096.63750000019</v>
      </c>
    </row>
    <row r="34" spans="1:8">
      <c r="A34" s="233" t="s">
        <v>342</v>
      </c>
      <c r="B34" s="234">
        <f>Производство!E74</f>
        <v>45</v>
      </c>
      <c r="C34" s="234">
        <f>Производство!F74</f>
        <v>45</v>
      </c>
      <c r="D34" s="234">
        <f>Производство!G74</f>
        <v>50.25</v>
      </c>
      <c r="E34" s="234">
        <f>Производство!H74</f>
        <v>55.500000000000014</v>
      </c>
      <c r="F34" s="234">
        <f>Производство!I74</f>
        <v>56.362500000000018</v>
      </c>
      <c r="G34" s="234">
        <f>Производство!J74</f>
        <v>67.837500000000034</v>
      </c>
      <c r="H34" s="234">
        <f>Производство!K74</f>
        <v>71.150625000000034</v>
      </c>
    </row>
    <row r="35" spans="1:8">
      <c r="A35" s="233" t="s">
        <v>340</v>
      </c>
      <c r="B35" s="382">
        <f>Исх!C27</f>
        <v>5820</v>
      </c>
      <c r="C35" s="382"/>
      <c r="D35" s="382"/>
      <c r="E35" s="382"/>
      <c r="F35" s="382"/>
      <c r="G35" s="382"/>
      <c r="H35" s="382"/>
    </row>
    <row r="36" spans="1:8">
      <c r="A36" s="233" t="s">
        <v>343</v>
      </c>
      <c r="B36" s="234">
        <f>Производство!E80/1000</f>
        <v>0</v>
      </c>
      <c r="C36" s="234">
        <f>Производство!F80/1000</f>
        <v>8.3362499999999997</v>
      </c>
      <c r="D36" s="234">
        <f>Производство!G80/1000</f>
        <v>14.51125</v>
      </c>
      <c r="E36" s="234">
        <f>Производство!H80/1000</f>
        <v>15.483812500000001</v>
      </c>
      <c r="F36" s="234">
        <f>Производство!I80/1000</f>
        <v>19.235125</v>
      </c>
      <c r="G36" s="234">
        <f>Производство!J80/1000</f>
        <v>15.998653125000001</v>
      </c>
      <c r="H36" s="234">
        <f>Производство!K80/1000</f>
        <v>21.644146875000001</v>
      </c>
    </row>
    <row r="38" spans="1:8">
      <c r="A38" s="244" t="s">
        <v>209</v>
      </c>
    </row>
    <row r="39" spans="1:8">
      <c r="A39" s="379" t="s">
        <v>210</v>
      </c>
      <c r="B39" s="381">
        <v>2012</v>
      </c>
      <c r="C39" s="381"/>
      <c r="D39" s="381">
        <v>2013</v>
      </c>
      <c r="E39" s="381"/>
      <c r="F39" s="381"/>
    </row>
    <row r="40" spans="1:8">
      <c r="A40" s="380"/>
      <c r="B40" s="238">
        <v>11</v>
      </c>
      <c r="C40" s="238">
        <v>12</v>
      </c>
      <c r="D40" s="238">
        <v>1</v>
      </c>
      <c r="E40" s="238">
        <v>2</v>
      </c>
      <c r="F40" s="238">
        <v>3</v>
      </c>
    </row>
    <row r="41" spans="1:8" ht="13.5" customHeight="1">
      <c r="A41" s="246" t="s">
        <v>211</v>
      </c>
      <c r="B41" s="247"/>
      <c r="C41" s="247"/>
      <c r="D41" s="239"/>
      <c r="E41" s="239"/>
      <c r="F41" s="239"/>
    </row>
    <row r="42" spans="1:8">
      <c r="A42" s="233" t="s">
        <v>212</v>
      </c>
      <c r="B42" s="234"/>
      <c r="C42" s="248"/>
      <c r="D42" s="239"/>
      <c r="E42" s="234"/>
      <c r="F42" s="234"/>
    </row>
    <row r="43" spans="1:8">
      <c r="A43" s="233" t="s">
        <v>213</v>
      </c>
      <c r="B43" s="234"/>
      <c r="C43" s="248"/>
      <c r="D43" s="239"/>
      <c r="E43" s="234"/>
      <c r="F43" s="234"/>
    </row>
    <row r="44" spans="1:8">
      <c r="A44" s="233" t="s">
        <v>352</v>
      </c>
      <c r="B44" s="234"/>
      <c r="C44" s="234"/>
      <c r="D44" s="248"/>
      <c r="E44" s="248"/>
      <c r="F44" s="234"/>
    </row>
    <row r="45" spans="1:8">
      <c r="A45" s="233" t="s">
        <v>353</v>
      </c>
      <c r="B45" s="234"/>
      <c r="C45" s="234"/>
      <c r="D45" s="234"/>
      <c r="E45" s="248"/>
      <c r="F45" s="234"/>
    </row>
    <row r="46" spans="1:8">
      <c r="A46" s="233" t="s">
        <v>233</v>
      </c>
      <c r="B46" s="234"/>
      <c r="C46" s="234"/>
      <c r="E46" s="248"/>
      <c r="F46" s="234"/>
    </row>
    <row r="47" spans="1:8">
      <c r="A47" s="233" t="s">
        <v>232</v>
      </c>
      <c r="B47" s="234"/>
      <c r="C47" s="234"/>
      <c r="D47" s="234"/>
      <c r="E47" s="248"/>
      <c r="F47" s="248"/>
    </row>
    <row r="48" spans="1:8">
      <c r="A48" s="233" t="s">
        <v>234</v>
      </c>
      <c r="B48" s="234"/>
      <c r="C48" s="234"/>
      <c r="D48" s="234"/>
      <c r="E48" s="234"/>
      <c r="F48" s="248"/>
    </row>
    <row r="49" spans="1:6">
      <c r="A49" s="233" t="s">
        <v>354</v>
      </c>
      <c r="B49" s="234"/>
      <c r="C49" s="234"/>
      <c r="D49" s="234"/>
      <c r="E49" s="234"/>
      <c r="F49" s="248"/>
    </row>
    <row r="51" spans="1:6">
      <c r="A51" s="244" t="s">
        <v>219</v>
      </c>
    </row>
    <row r="53" spans="1:6">
      <c r="A53" s="349" t="s">
        <v>222</v>
      </c>
      <c r="B53" s="350" t="s">
        <v>223</v>
      </c>
    </row>
    <row r="54" spans="1:6">
      <c r="A54" s="233" t="s">
        <v>45</v>
      </c>
      <c r="B54" s="234">
        <f>'1-Ф3'!B18</f>
        <v>5622.5196980272103</v>
      </c>
    </row>
    <row r="55" spans="1:6">
      <c r="A55" s="233" t="s">
        <v>220</v>
      </c>
      <c r="B55" s="234">
        <f>'1-Ф3'!B17</f>
        <v>3585.7679341902858</v>
      </c>
    </row>
    <row r="56" spans="1:6">
      <c r="A56" s="233" t="s">
        <v>248</v>
      </c>
      <c r="B56" s="234">
        <f>SUM(Пост!C21:I21)*12</f>
        <v>710.93583668518056</v>
      </c>
    </row>
    <row r="57" spans="1:6">
      <c r="A57" s="233" t="s">
        <v>221</v>
      </c>
      <c r="B57" s="234">
        <f>(ФОТ!F30+ФОТ!G30+ФОТ!H30+ФОТ!I30)*12*6.75</f>
        <v>25496.9856</v>
      </c>
    </row>
    <row r="58" spans="1:6">
      <c r="A58" s="235" t="s">
        <v>0</v>
      </c>
      <c r="B58" s="236">
        <f>SUM(B54:B57)</f>
        <v>35416.209068902681</v>
      </c>
    </row>
  </sheetData>
  <mergeCells count="4">
    <mergeCell ref="A39:A40"/>
    <mergeCell ref="B39:C39"/>
    <mergeCell ref="B35:H35"/>
    <mergeCell ref="D39:F39"/>
  </mergeCells>
  <phoneticPr fontId="14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  <outlinePr summaryBelow="0"/>
  </sheetPr>
  <dimension ref="A1:FU34"/>
  <sheetViews>
    <sheetView showGridLines="0" showZeros="0" zoomScaleNormal="100" workbookViewId="0">
      <pane xSplit="3" ySplit="4" topLeftCell="D5" activePane="bottomRight" state="frozen"/>
      <selection activeCell="A34" sqref="A34"/>
      <selection pane="topRight" activeCell="A34" sqref="A34"/>
      <selection pane="bottomLeft" activeCell="A34" sqref="A34"/>
      <selection pane="bottomRight" activeCell="AK26" sqref="AK26"/>
    </sheetView>
  </sheetViews>
  <sheetFormatPr defaultColWidth="10.140625" defaultRowHeight="12.75" outlineLevelCol="1"/>
  <cols>
    <col min="1" max="1" width="38.140625" style="88" customWidth="1"/>
    <col min="2" max="2" width="11.42578125" style="88" customWidth="1"/>
    <col min="3" max="3" width="3.85546875" style="88" customWidth="1"/>
    <col min="4" max="4" width="7.140625" style="88" hidden="1" customWidth="1" outlineLevel="1"/>
    <col min="5" max="5" width="8.28515625" style="88" hidden="1" customWidth="1" outlineLevel="1"/>
    <col min="6" max="11" width="7" style="88" hidden="1" customWidth="1" outlineLevel="1"/>
    <col min="12" max="12" width="8.7109375" style="88" hidden="1" customWidth="1" outlineLevel="1"/>
    <col min="13" max="13" width="7.85546875" style="88" hidden="1" customWidth="1" outlineLevel="1"/>
    <col min="14" max="15" width="8.5703125" style="88" hidden="1" customWidth="1" outlineLevel="1"/>
    <col min="16" max="16" width="9.140625" style="88" customWidth="1" collapsed="1"/>
    <col min="17" max="28" width="8.42578125" style="88" hidden="1" customWidth="1" outlineLevel="1"/>
    <col min="29" max="29" width="9.140625" style="88" customWidth="1" collapsed="1"/>
    <col min="30" max="30" width="9.140625" style="88" customWidth="1"/>
    <col min="31" max="34" width="8.85546875" style="88" customWidth="1"/>
    <col min="35" max="16384" width="10.140625" style="88"/>
  </cols>
  <sheetData>
    <row r="1" spans="1:35" ht="21" customHeight="1">
      <c r="A1" s="62" t="s">
        <v>125</v>
      </c>
      <c r="B1" s="87"/>
      <c r="C1" s="87"/>
    </row>
    <row r="2" spans="1:35" ht="17.25" customHeight="1">
      <c r="A2" s="62"/>
      <c r="B2" s="12" t="str">
        <f>Исх!$C$9</f>
        <v>тыс.тг.</v>
      </c>
      <c r="C2" s="89"/>
    </row>
    <row r="3" spans="1:35" ht="12.75" customHeight="1">
      <c r="A3" s="360" t="s">
        <v>3</v>
      </c>
      <c r="B3" s="364" t="s">
        <v>1</v>
      </c>
      <c r="C3" s="93"/>
      <c r="D3" s="359">
        <v>2012</v>
      </c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>
        <v>2013</v>
      </c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94">
        <v>2014</v>
      </c>
      <c r="AE3" s="94">
        <f>AD3+1</f>
        <v>2015</v>
      </c>
      <c r="AF3" s="94">
        <f>AE3+1</f>
        <v>2016</v>
      </c>
      <c r="AG3" s="94">
        <f>AF3+1</f>
        <v>2017</v>
      </c>
      <c r="AH3" s="94">
        <f>AG3+1</f>
        <v>2018</v>
      </c>
    </row>
    <row r="4" spans="1:35">
      <c r="A4" s="361"/>
      <c r="B4" s="364"/>
      <c r="C4" s="95"/>
      <c r="D4" s="96">
        <v>1</v>
      </c>
      <c r="E4" s="96">
        <f t="shared" ref="E4:O4" si="0">D4+1</f>
        <v>2</v>
      </c>
      <c r="F4" s="96">
        <f t="shared" si="0"/>
        <v>3</v>
      </c>
      <c r="G4" s="96">
        <f t="shared" si="0"/>
        <v>4</v>
      </c>
      <c r="H4" s="96">
        <f t="shared" si="0"/>
        <v>5</v>
      </c>
      <c r="I4" s="96">
        <f t="shared" si="0"/>
        <v>6</v>
      </c>
      <c r="J4" s="96">
        <f t="shared" si="0"/>
        <v>7</v>
      </c>
      <c r="K4" s="96">
        <f t="shared" si="0"/>
        <v>8</v>
      </c>
      <c r="L4" s="96">
        <f t="shared" si="0"/>
        <v>9</v>
      </c>
      <c r="M4" s="96">
        <f t="shared" si="0"/>
        <v>10</v>
      </c>
      <c r="N4" s="96">
        <f t="shared" si="0"/>
        <v>11</v>
      </c>
      <c r="O4" s="96">
        <f t="shared" si="0"/>
        <v>12</v>
      </c>
      <c r="P4" s="92" t="s">
        <v>0</v>
      </c>
      <c r="Q4" s="96">
        <v>1</v>
      </c>
      <c r="R4" s="96">
        <f t="shared" ref="R4:AB4" si="1">Q4+1</f>
        <v>2</v>
      </c>
      <c r="S4" s="96">
        <f t="shared" si="1"/>
        <v>3</v>
      </c>
      <c r="T4" s="96">
        <f t="shared" si="1"/>
        <v>4</v>
      </c>
      <c r="U4" s="96">
        <f t="shared" si="1"/>
        <v>5</v>
      </c>
      <c r="V4" s="96">
        <f t="shared" si="1"/>
        <v>6</v>
      </c>
      <c r="W4" s="96">
        <f t="shared" si="1"/>
        <v>7</v>
      </c>
      <c r="X4" s="96">
        <f t="shared" si="1"/>
        <v>8</v>
      </c>
      <c r="Y4" s="96">
        <f t="shared" si="1"/>
        <v>9</v>
      </c>
      <c r="Z4" s="96">
        <f t="shared" si="1"/>
        <v>10</v>
      </c>
      <c r="AA4" s="96">
        <f t="shared" si="1"/>
        <v>11</v>
      </c>
      <c r="AB4" s="96">
        <f t="shared" si="1"/>
        <v>12</v>
      </c>
      <c r="AC4" s="92" t="s">
        <v>0</v>
      </c>
      <c r="AD4" s="92" t="s">
        <v>126</v>
      </c>
      <c r="AE4" s="92" t="s">
        <v>126</v>
      </c>
      <c r="AF4" s="92" t="s">
        <v>126</v>
      </c>
      <c r="AG4" s="92" t="s">
        <v>126</v>
      </c>
      <c r="AH4" s="92" t="s">
        <v>126</v>
      </c>
    </row>
    <row r="5" spans="1:35" s="89" customFormat="1" ht="15" customHeight="1">
      <c r="A5" s="97" t="s">
        <v>107</v>
      </c>
      <c r="B5" s="98">
        <f>P5+AC5+AD5+AE5+AF5+AG5+AH5</f>
        <v>265412.99176828127</v>
      </c>
      <c r="C5" s="99"/>
      <c r="D5" s="99">
        <f t="shared" ref="D5:AH5" si="2">SUM(D6:D7)</f>
        <v>0</v>
      </c>
      <c r="E5" s="99">
        <f t="shared" si="2"/>
        <v>0</v>
      </c>
      <c r="F5" s="99">
        <f t="shared" si="2"/>
        <v>0</v>
      </c>
      <c r="G5" s="99">
        <f t="shared" si="2"/>
        <v>1746</v>
      </c>
      <c r="H5" s="99">
        <f t="shared" si="2"/>
        <v>1746</v>
      </c>
      <c r="I5" s="99">
        <f t="shared" si="2"/>
        <v>1746</v>
      </c>
      <c r="J5" s="99">
        <f t="shared" si="2"/>
        <v>1746</v>
      </c>
      <c r="K5" s="99">
        <f t="shared" si="2"/>
        <v>1746</v>
      </c>
      <c r="L5" s="99">
        <f t="shared" si="2"/>
        <v>1746</v>
      </c>
      <c r="M5" s="99">
        <f t="shared" si="2"/>
        <v>1746</v>
      </c>
      <c r="N5" s="99">
        <f t="shared" si="2"/>
        <v>1746</v>
      </c>
      <c r="O5" s="99">
        <f t="shared" si="2"/>
        <v>1746</v>
      </c>
      <c r="P5" s="99">
        <f t="shared" si="2"/>
        <v>15714</v>
      </c>
      <c r="Q5" s="99">
        <f t="shared" si="2"/>
        <v>2733.9742708333333</v>
      </c>
      <c r="R5" s="99">
        <f t="shared" si="2"/>
        <v>2733.9742708333333</v>
      </c>
      <c r="S5" s="99">
        <f t="shared" si="2"/>
        <v>2733.9742708333333</v>
      </c>
      <c r="T5" s="99">
        <f t="shared" si="2"/>
        <v>2733.9742708333333</v>
      </c>
      <c r="U5" s="99">
        <f t="shared" si="2"/>
        <v>2733.9742708333333</v>
      </c>
      <c r="V5" s="99">
        <f t="shared" si="2"/>
        <v>2733.9742708333333</v>
      </c>
      <c r="W5" s="99">
        <f t="shared" si="2"/>
        <v>2733.9742708333333</v>
      </c>
      <c r="X5" s="99">
        <f t="shared" si="2"/>
        <v>2733.9742708333333</v>
      </c>
      <c r="Y5" s="99">
        <f t="shared" si="2"/>
        <v>2733.9742708333333</v>
      </c>
      <c r="Z5" s="99">
        <f t="shared" si="2"/>
        <v>2733.9742708333333</v>
      </c>
      <c r="AA5" s="99">
        <f t="shared" si="2"/>
        <v>2733.9742708333333</v>
      </c>
      <c r="AB5" s="99">
        <f t="shared" si="2"/>
        <v>2733.9742708333333</v>
      </c>
      <c r="AC5" s="99">
        <f t="shared" si="2"/>
        <v>32807.691249999996</v>
      </c>
      <c r="AD5" s="99">
        <f t="shared" si="2"/>
        <v>36046.674812500001</v>
      </c>
      <c r="AE5" s="99">
        <f t="shared" si="2"/>
        <v>41555.897125000003</v>
      </c>
      <c r="AF5" s="99">
        <f t="shared" si="2"/>
        <v>39313.279603125011</v>
      </c>
      <c r="AG5" s="99">
        <f t="shared" si="2"/>
        <v>49268.407996875016</v>
      </c>
      <c r="AH5" s="99">
        <f t="shared" si="2"/>
        <v>50707.040980781268</v>
      </c>
      <c r="AI5" s="100"/>
    </row>
    <row r="6" spans="1:35" s="89" customFormat="1">
      <c r="A6" s="101" t="s">
        <v>308</v>
      </c>
      <c r="B6" s="98">
        <f>P6+AC6+AD6+AE6+AF6+AG6+AH6</f>
        <v>176858.45100000006</v>
      </c>
      <c r="C6" s="99"/>
      <c r="D6" s="102"/>
      <c r="E6" s="102"/>
      <c r="F6" s="102"/>
      <c r="G6" s="102">
        <f>Дох!$C$5/12</f>
        <v>1746</v>
      </c>
      <c r="H6" s="102">
        <f>Дох!$C$5/12</f>
        <v>1746</v>
      </c>
      <c r="I6" s="102">
        <f>Дох!$C$5/12</f>
        <v>1746</v>
      </c>
      <c r="J6" s="102">
        <f>Дох!$C$5/12</f>
        <v>1746</v>
      </c>
      <c r="K6" s="102">
        <f>Дох!$C$5/12</f>
        <v>1746</v>
      </c>
      <c r="L6" s="102">
        <f>Дох!$C$5/12</f>
        <v>1746</v>
      </c>
      <c r="M6" s="102">
        <f>Дох!$C$5/12</f>
        <v>1746</v>
      </c>
      <c r="N6" s="102">
        <f>Дох!$C$5/12</f>
        <v>1746</v>
      </c>
      <c r="O6" s="102">
        <f>Дох!$C$5/12</f>
        <v>1746</v>
      </c>
      <c r="P6" s="99">
        <f>SUM(D6:O6)</f>
        <v>15714</v>
      </c>
      <c r="Q6" s="102">
        <f>Дох!$D$5/12</f>
        <v>1746</v>
      </c>
      <c r="R6" s="102">
        <f>Дох!$D$5/12</f>
        <v>1746</v>
      </c>
      <c r="S6" s="102">
        <f>Дох!$D$5/12</f>
        <v>1746</v>
      </c>
      <c r="T6" s="102">
        <f>Дох!$D$5/12</f>
        <v>1746</v>
      </c>
      <c r="U6" s="102">
        <f>Дох!$D$5/12</f>
        <v>1746</v>
      </c>
      <c r="V6" s="102">
        <f>Дох!$D$5/12</f>
        <v>1746</v>
      </c>
      <c r="W6" s="102">
        <f>Дох!$D$5/12</f>
        <v>1746</v>
      </c>
      <c r="X6" s="102">
        <f>Дох!$D$5/12</f>
        <v>1746</v>
      </c>
      <c r="Y6" s="102">
        <f>Дох!$D$5/12</f>
        <v>1746</v>
      </c>
      <c r="Z6" s="102">
        <f>Дох!$D$5/12</f>
        <v>1746</v>
      </c>
      <c r="AA6" s="102">
        <f>Дох!$D$5/12</f>
        <v>1746</v>
      </c>
      <c r="AB6" s="102">
        <f>Дох!$D$5/12</f>
        <v>1746</v>
      </c>
      <c r="AC6" s="99">
        <f>SUM(Q6:AB6)</f>
        <v>20952</v>
      </c>
      <c r="AD6" s="102">
        <f>Дох!E5</f>
        <v>23396.400000000001</v>
      </c>
      <c r="AE6" s="102">
        <f>Дох!F5</f>
        <v>25840.800000000003</v>
      </c>
      <c r="AF6" s="102">
        <f>Дох!G5</f>
        <v>26242.380000000008</v>
      </c>
      <c r="AG6" s="102">
        <f>Дох!H5</f>
        <v>31585.140000000014</v>
      </c>
      <c r="AH6" s="102">
        <f>Дох!I5</f>
        <v>33127.731000000014</v>
      </c>
      <c r="AI6" s="100"/>
    </row>
    <row r="7" spans="1:35" s="89" customFormat="1">
      <c r="A7" s="101" t="s">
        <v>307</v>
      </c>
      <c r="B7" s="98">
        <f t="shared" ref="B7:B17" si="3">P7+AC7+AD7+AE7+AF7+AG7+AH7</f>
        <v>88554.540768281251</v>
      </c>
      <c r="C7" s="99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99">
        <f>SUM(D7:O7)</f>
        <v>0</v>
      </c>
      <c r="Q7" s="102">
        <f>Дох!$D$6/12</f>
        <v>987.97427083333332</v>
      </c>
      <c r="R7" s="102">
        <f>Дох!$D$6/12</f>
        <v>987.97427083333332</v>
      </c>
      <c r="S7" s="102">
        <f>Дох!$D$6/12</f>
        <v>987.97427083333332</v>
      </c>
      <c r="T7" s="102">
        <f>Дох!$D$6/12</f>
        <v>987.97427083333332</v>
      </c>
      <c r="U7" s="102">
        <f>Дох!$D$6/12</f>
        <v>987.97427083333332</v>
      </c>
      <c r="V7" s="102">
        <f>Дох!$D$6/12</f>
        <v>987.97427083333332</v>
      </c>
      <c r="W7" s="102">
        <f>Дох!$D$6/12</f>
        <v>987.97427083333332</v>
      </c>
      <c r="X7" s="102">
        <f>Дох!$D$6/12</f>
        <v>987.97427083333332</v>
      </c>
      <c r="Y7" s="102">
        <f>Дох!$D$6/12</f>
        <v>987.97427083333332</v>
      </c>
      <c r="Z7" s="102">
        <f>Дох!$D$6/12</f>
        <v>987.97427083333332</v>
      </c>
      <c r="AA7" s="102">
        <f>Дох!$D$6/12</f>
        <v>987.97427083333332</v>
      </c>
      <c r="AB7" s="102">
        <f>Дох!$D$6/12</f>
        <v>987.97427083333332</v>
      </c>
      <c r="AC7" s="99">
        <f>SUM(Q7:AB7)</f>
        <v>11855.691249999996</v>
      </c>
      <c r="AD7" s="102">
        <f>Дох!E6</f>
        <v>12650.2748125</v>
      </c>
      <c r="AE7" s="102">
        <f>Дох!F6</f>
        <v>15715.097125</v>
      </c>
      <c r="AF7" s="102">
        <f>Дох!G6</f>
        <v>13070.899603125001</v>
      </c>
      <c r="AG7" s="102">
        <f>Дох!H6</f>
        <v>17683.267996875002</v>
      </c>
      <c r="AH7" s="102">
        <f>Дох!I6</f>
        <v>17579.30998078125</v>
      </c>
      <c r="AI7" s="100"/>
    </row>
    <row r="8" spans="1:35" ht="15" customHeight="1">
      <c r="A8" s="97" t="s">
        <v>108</v>
      </c>
      <c r="B8" s="98">
        <f t="shared" si="3"/>
        <v>97018.456964155775</v>
      </c>
      <c r="C8" s="99"/>
      <c r="D8" s="99">
        <f t="shared" ref="D8:AH8" si="4">SUM(D9:D10)</f>
        <v>0</v>
      </c>
      <c r="E8" s="99">
        <f t="shared" si="4"/>
        <v>0</v>
      </c>
      <c r="F8" s="99">
        <f t="shared" si="4"/>
        <v>0</v>
      </c>
      <c r="G8" s="99">
        <f t="shared" si="4"/>
        <v>923.0647689732142</v>
      </c>
      <c r="H8" s="99">
        <f t="shared" si="4"/>
        <v>923.0647689732142</v>
      </c>
      <c r="I8" s="99">
        <f t="shared" si="4"/>
        <v>923.0647689732142</v>
      </c>
      <c r="J8" s="99">
        <f t="shared" si="4"/>
        <v>923.0647689732142</v>
      </c>
      <c r="K8" s="99">
        <f t="shared" si="4"/>
        <v>923.0647689732142</v>
      </c>
      <c r="L8" s="99">
        <f t="shared" si="4"/>
        <v>923.0647689732142</v>
      </c>
      <c r="M8" s="99">
        <f t="shared" si="4"/>
        <v>923.0647689732142</v>
      </c>
      <c r="N8" s="99">
        <f t="shared" si="4"/>
        <v>923.0647689732142</v>
      </c>
      <c r="O8" s="99">
        <f t="shared" si="4"/>
        <v>923.0647689732142</v>
      </c>
      <c r="P8" s="99">
        <f t="shared" si="4"/>
        <v>8307.5829207589286</v>
      </c>
      <c r="Q8" s="99">
        <f t="shared" si="4"/>
        <v>988.51338658954035</v>
      </c>
      <c r="R8" s="99">
        <f t="shared" si="4"/>
        <v>988.51338658954035</v>
      </c>
      <c r="S8" s="99">
        <f t="shared" si="4"/>
        <v>988.51338658954035</v>
      </c>
      <c r="T8" s="99">
        <f t="shared" si="4"/>
        <v>988.51338658954035</v>
      </c>
      <c r="U8" s="99">
        <f t="shared" si="4"/>
        <v>988.51338658954035</v>
      </c>
      <c r="V8" s="99">
        <f t="shared" si="4"/>
        <v>988.51338658954035</v>
      </c>
      <c r="W8" s="99">
        <f t="shared" si="4"/>
        <v>988.51338658954035</v>
      </c>
      <c r="X8" s="99">
        <f t="shared" si="4"/>
        <v>988.51338658954035</v>
      </c>
      <c r="Y8" s="99">
        <f t="shared" si="4"/>
        <v>988.51338658954035</v>
      </c>
      <c r="Z8" s="99">
        <f t="shared" si="4"/>
        <v>988.51338658954035</v>
      </c>
      <c r="AA8" s="99">
        <f t="shared" si="4"/>
        <v>988.51338658954035</v>
      </c>
      <c r="AB8" s="99">
        <f t="shared" si="4"/>
        <v>988.51338658954035</v>
      </c>
      <c r="AC8" s="99">
        <f t="shared" si="4"/>
        <v>11862.160639074484</v>
      </c>
      <c r="AD8" s="99">
        <f t="shared" si="4"/>
        <v>12883.194251940016</v>
      </c>
      <c r="AE8" s="99">
        <f t="shared" si="4"/>
        <v>14113.681030203214</v>
      </c>
      <c r="AF8" s="99">
        <f t="shared" si="4"/>
        <v>14923.780083032343</v>
      </c>
      <c r="AG8" s="99">
        <f t="shared" si="4"/>
        <v>16717.258674307792</v>
      </c>
      <c r="AH8" s="99">
        <f t="shared" si="4"/>
        <v>18210.799364839015</v>
      </c>
    </row>
    <row r="9" spans="1:35">
      <c r="A9" s="101" t="s">
        <v>333</v>
      </c>
      <c r="B9" s="98">
        <f t="shared" si="3"/>
        <v>22389.247624860491</v>
      </c>
      <c r="C9" s="99"/>
      <c r="D9" s="102"/>
      <c r="E9" s="102"/>
      <c r="F9" s="102"/>
      <c r="G9" s="102">
        <f>'Расх перем'!$E$19/12</f>
        <v>217.36676897321425</v>
      </c>
      <c r="H9" s="102">
        <f>'Расх перем'!$E$19/12</f>
        <v>217.36676897321425</v>
      </c>
      <c r="I9" s="102">
        <f>'Расх перем'!$E$19/12</f>
        <v>217.36676897321425</v>
      </c>
      <c r="J9" s="102">
        <f>'Расх перем'!$E$19/12</f>
        <v>217.36676897321425</v>
      </c>
      <c r="K9" s="102">
        <f>'Расх перем'!$E$19/12</f>
        <v>217.36676897321425</v>
      </c>
      <c r="L9" s="102">
        <f>'Расх перем'!$E$19/12</f>
        <v>217.36676897321425</v>
      </c>
      <c r="M9" s="102">
        <f>'Расх перем'!$E$19/12</f>
        <v>217.36676897321425</v>
      </c>
      <c r="N9" s="102">
        <f>'Расх перем'!$E$19/12</f>
        <v>217.36676897321425</v>
      </c>
      <c r="O9" s="102">
        <f>'Расх перем'!$E$19/12</f>
        <v>217.36676897321425</v>
      </c>
      <c r="P9" s="99">
        <f>SUM(D9:O9)</f>
        <v>1956.3009207589282</v>
      </c>
      <c r="Q9" s="102">
        <f>'Расх перем'!$F$19/12</f>
        <v>229.53281947544642</v>
      </c>
      <c r="R9" s="102">
        <f>'Расх перем'!$F$19/12</f>
        <v>229.53281947544642</v>
      </c>
      <c r="S9" s="102">
        <f>'Расх перем'!$F$19/12</f>
        <v>229.53281947544642</v>
      </c>
      <c r="T9" s="102">
        <f>'Расх перем'!$F$19/12</f>
        <v>229.53281947544642</v>
      </c>
      <c r="U9" s="102">
        <f>'Расх перем'!$F$19/12</f>
        <v>229.53281947544642</v>
      </c>
      <c r="V9" s="102">
        <f>'Расх перем'!$F$19/12</f>
        <v>229.53281947544642</v>
      </c>
      <c r="W9" s="102">
        <f>'Расх перем'!$F$19/12</f>
        <v>229.53281947544642</v>
      </c>
      <c r="X9" s="102">
        <f>'Расх перем'!$F$19/12</f>
        <v>229.53281947544642</v>
      </c>
      <c r="Y9" s="102">
        <f>'Расх перем'!$F$19/12</f>
        <v>229.53281947544642</v>
      </c>
      <c r="Z9" s="102">
        <f>'Расх перем'!$F$19/12</f>
        <v>229.53281947544642</v>
      </c>
      <c r="AA9" s="102">
        <f>'Расх перем'!$F$19/12</f>
        <v>229.53281947544642</v>
      </c>
      <c r="AB9" s="102">
        <f>'Расх перем'!$F$19/12</f>
        <v>229.53281947544642</v>
      </c>
      <c r="AC9" s="99">
        <f>SUM(Q9:AB9)</f>
        <v>2754.3938337053573</v>
      </c>
      <c r="AD9" s="102">
        <f>'Расх перем'!G19</f>
        <v>2975.0048828125</v>
      </c>
      <c r="AE9" s="102">
        <f>'Расх перем'!H19</f>
        <v>3249.9576241629461</v>
      </c>
      <c r="AF9" s="102">
        <f>'Расх перем'!I19</f>
        <v>3428.7174595424103</v>
      </c>
      <c r="AG9" s="102">
        <f>'Расх перем'!J19</f>
        <v>3843.5392281668528</v>
      </c>
      <c r="AH9" s="102">
        <f>'Расх перем'!K19</f>
        <v>4181.3336757114957</v>
      </c>
    </row>
    <row r="10" spans="1:35">
      <c r="A10" s="101" t="s">
        <v>345</v>
      </c>
      <c r="B10" s="98">
        <f t="shared" si="3"/>
        <v>74629.209339295296</v>
      </c>
      <c r="C10" s="99"/>
      <c r="D10" s="102"/>
      <c r="E10" s="102"/>
      <c r="F10" s="102"/>
      <c r="G10" s="102">
        <f>'Расх перем'!$E$29</f>
        <v>705.69799999999998</v>
      </c>
      <c r="H10" s="102">
        <f>'Расх перем'!$E$29</f>
        <v>705.69799999999998</v>
      </c>
      <c r="I10" s="102">
        <f>'Расх перем'!$E$29</f>
        <v>705.69799999999998</v>
      </c>
      <c r="J10" s="102">
        <f>'Расх перем'!$E$29</f>
        <v>705.69799999999998</v>
      </c>
      <c r="K10" s="102">
        <f>'Расх перем'!$E$29</f>
        <v>705.69799999999998</v>
      </c>
      <c r="L10" s="102">
        <f>'Расх перем'!$E$29</f>
        <v>705.69799999999998</v>
      </c>
      <c r="M10" s="102">
        <f>'Расх перем'!$E$29</f>
        <v>705.69799999999998</v>
      </c>
      <c r="N10" s="102">
        <f>'Расх перем'!$E$29</f>
        <v>705.69799999999998</v>
      </c>
      <c r="O10" s="102">
        <f>'Расх перем'!$E$29</f>
        <v>705.69799999999998</v>
      </c>
      <c r="P10" s="99">
        <f>SUM(D10:O10)</f>
        <v>6351.2820000000011</v>
      </c>
      <c r="Q10" s="102">
        <f>'Расх перем'!$F$29</f>
        <v>758.9805671140939</v>
      </c>
      <c r="R10" s="102">
        <f>'Расх перем'!$F$29</f>
        <v>758.9805671140939</v>
      </c>
      <c r="S10" s="102">
        <f>'Расх перем'!$F$29</f>
        <v>758.9805671140939</v>
      </c>
      <c r="T10" s="102">
        <f>'Расх перем'!$F$29</f>
        <v>758.9805671140939</v>
      </c>
      <c r="U10" s="102">
        <f>'Расх перем'!$F$29</f>
        <v>758.9805671140939</v>
      </c>
      <c r="V10" s="102">
        <f>'Расх перем'!$F$29</f>
        <v>758.9805671140939</v>
      </c>
      <c r="W10" s="102">
        <f>'Расх перем'!$F$29</f>
        <v>758.9805671140939</v>
      </c>
      <c r="X10" s="102">
        <f>'Расх перем'!$F$29</f>
        <v>758.9805671140939</v>
      </c>
      <c r="Y10" s="102">
        <f>'Расх перем'!$F$29</f>
        <v>758.9805671140939</v>
      </c>
      <c r="Z10" s="102">
        <f>'Расх перем'!$F$29</f>
        <v>758.9805671140939</v>
      </c>
      <c r="AA10" s="102">
        <f>'Расх перем'!$F$29</f>
        <v>758.9805671140939</v>
      </c>
      <c r="AB10" s="102">
        <f>'Расх перем'!$F$29</f>
        <v>758.9805671140939</v>
      </c>
      <c r="AC10" s="99">
        <f>SUM(Q10:AB10)</f>
        <v>9107.7668053691268</v>
      </c>
      <c r="AD10" s="102">
        <f>'Расх перем'!G29*12</f>
        <v>9908.1893691275163</v>
      </c>
      <c r="AE10" s="102">
        <f>'Расх перем'!H29*12</f>
        <v>10863.723406040268</v>
      </c>
      <c r="AF10" s="102">
        <f>'Расх перем'!I29*12</f>
        <v>11495.062623489934</v>
      </c>
      <c r="AG10" s="102">
        <f>'Расх перем'!J29*12</f>
        <v>12873.71944614094</v>
      </c>
      <c r="AH10" s="102">
        <f>'Расх перем'!K29*12</f>
        <v>14029.465689127519</v>
      </c>
    </row>
    <row r="11" spans="1:35" s="89" customFormat="1" ht="15" customHeight="1">
      <c r="A11" s="97" t="s">
        <v>18</v>
      </c>
      <c r="B11" s="98">
        <f t="shared" si="3"/>
        <v>168394.53480412549</v>
      </c>
      <c r="C11" s="103"/>
      <c r="D11" s="99">
        <f t="shared" ref="D11:AH11" si="5">D5-D8</f>
        <v>0</v>
      </c>
      <c r="E11" s="99">
        <f t="shared" si="5"/>
        <v>0</v>
      </c>
      <c r="F11" s="99">
        <f t="shared" si="5"/>
        <v>0</v>
      </c>
      <c r="G11" s="99">
        <f t="shared" si="5"/>
        <v>822.9352310267858</v>
      </c>
      <c r="H11" s="99">
        <f t="shared" si="5"/>
        <v>822.9352310267858</v>
      </c>
      <c r="I11" s="99">
        <f t="shared" si="5"/>
        <v>822.9352310267858</v>
      </c>
      <c r="J11" s="99">
        <f t="shared" si="5"/>
        <v>822.9352310267858</v>
      </c>
      <c r="K11" s="99">
        <f t="shared" si="5"/>
        <v>822.9352310267858</v>
      </c>
      <c r="L11" s="99">
        <f t="shared" si="5"/>
        <v>822.9352310267858</v>
      </c>
      <c r="M11" s="99">
        <f t="shared" si="5"/>
        <v>822.9352310267858</v>
      </c>
      <c r="N11" s="99">
        <f t="shared" si="5"/>
        <v>822.9352310267858</v>
      </c>
      <c r="O11" s="99">
        <f t="shared" si="5"/>
        <v>822.9352310267858</v>
      </c>
      <c r="P11" s="99">
        <f t="shared" si="5"/>
        <v>7406.4170792410714</v>
      </c>
      <c r="Q11" s="99">
        <f t="shared" si="5"/>
        <v>1745.4608842437929</v>
      </c>
      <c r="R11" s="99">
        <f t="shared" si="5"/>
        <v>1745.4608842437929</v>
      </c>
      <c r="S11" s="99">
        <f t="shared" si="5"/>
        <v>1745.4608842437929</v>
      </c>
      <c r="T11" s="99">
        <f t="shared" si="5"/>
        <v>1745.4608842437929</v>
      </c>
      <c r="U11" s="99">
        <f t="shared" si="5"/>
        <v>1745.4608842437929</v>
      </c>
      <c r="V11" s="99">
        <f t="shared" si="5"/>
        <v>1745.4608842437929</v>
      </c>
      <c r="W11" s="99">
        <f t="shared" si="5"/>
        <v>1745.4608842437929</v>
      </c>
      <c r="X11" s="99">
        <f t="shared" si="5"/>
        <v>1745.4608842437929</v>
      </c>
      <c r="Y11" s="99">
        <f t="shared" si="5"/>
        <v>1745.4608842437929</v>
      </c>
      <c r="Z11" s="99">
        <f t="shared" si="5"/>
        <v>1745.4608842437929</v>
      </c>
      <c r="AA11" s="99">
        <f t="shared" si="5"/>
        <v>1745.4608842437929</v>
      </c>
      <c r="AB11" s="99">
        <f t="shared" si="5"/>
        <v>1745.4608842437929</v>
      </c>
      <c r="AC11" s="99">
        <f t="shared" si="5"/>
        <v>20945.530610925511</v>
      </c>
      <c r="AD11" s="99">
        <f t="shared" si="5"/>
        <v>23163.480560559983</v>
      </c>
      <c r="AE11" s="99">
        <f t="shared" si="5"/>
        <v>27442.21609479679</v>
      </c>
      <c r="AF11" s="99">
        <f t="shared" si="5"/>
        <v>24389.499520092668</v>
      </c>
      <c r="AG11" s="99">
        <f t="shared" si="5"/>
        <v>32551.149322567224</v>
      </c>
      <c r="AH11" s="99">
        <f t="shared" si="5"/>
        <v>32496.241615942254</v>
      </c>
    </row>
    <row r="12" spans="1:35" ht="15" customHeight="1">
      <c r="A12" s="104" t="s">
        <v>166</v>
      </c>
      <c r="B12" s="98">
        <f t="shared" si="3"/>
        <v>77695.013119006908</v>
      </c>
      <c r="C12" s="99"/>
      <c r="D12" s="102"/>
      <c r="E12" s="102"/>
      <c r="F12" s="102"/>
      <c r="G12" s="102">
        <f>Пост!$C$16+Пост!$C$18+Пост!$C$21</f>
        <v>951.24915789275678</v>
      </c>
      <c r="H12" s="102">
        <f>Пост!$C$16+Пост!$C$18+Пост!$C$21</f>
        <v>951.24915789275678</v>
      </c>
      <c r="I12" s="102">
        <f>Пост!$C$16+Пост!$C$18+Пост!$C$21</f>
        <v>951.24915789275678</v>
      </c>
      <c r="J12" s="102">
        <f>Пост!$C$16+Пост!$C$18+Пост!$C$21</f>
        <v>951.24915789275678</v>
      </c>
      <c r="K12" s="102">
        <f>Пост!$C$16+Пост!$C$18+Пост!$C$21</f>
        <v>951.24915789275678</v>
      </c>
      <c r="L12" s="102">
        <f>Пост!$C$16+Пост!$C$18+Пост!$C$21</f>
        <v>951.24915789275678</v>
      </c>
      <c r="M12" s="102">
        <f>Пост!$C$16+Пост!$C$18+Пост!$C$21</f>
        <v>951.24915789275678</v>
      </c>
      <c r="N12" s="102">
        <f>Пост!$C$16+Пост!$C$18+Пост!$C$21</f>
        <v>951.24915789275678</v>
      </c>
      <c r="O12" s="102">
        <f>Пост!$C$16+Пост!$C$18+Пост!$C$21</f>
        <v>951.24915789275678</v>
      </c>
      <c r="P12" s="99">
        <f t="shared" ref="P12:P17" si="6">SUM(D12:O12)</f>
        <v>8561.2424210348108</v>
      </c>
      <c r="Q12" s="102">
        <f>Пост!$D$16+Пост!$D$18+Пост!$D$21</f>
        <v>953.34312626455676</v>
      </c>
      <c r="R12" s="102">
        <f>Пост!$D$16+Пост!$D$18+Пост!$D$21</f>
        <v>953.34312626455676</v>
      </c>
      <c r="S12" s="102">
        <f>Пост!$D$16+Пост!$D$18+Пост!$D$21</f>
        <v>953.34312626455676</v>
      </c>
      <c r="T12" s="102">
        <f>Пост!$D$16+Пост!$D$18+Пост!$D$21</f>
        <v>953.34312626455676</v>
      </c>
      <c r="U12" s="102">
        <f>Пост!$D$16+Пост!$D$18+Пост!$D$21</f>
        <v>953.34312626455676</v>
      </c>
      <c r="V12" s="102">
        <f>Пост!$D$16+Пост!$D$18+Пост!$D$21</f>
        <v>953.34312626455676</v>
      </c>
      <c r="W12" s="102">
        <f>Пост!$D$16+Пост!$D$18+Пост!$D$21</f>
        <v>953.34312626455676</v>
      </c>
      <c r="X12" s="102">
        <f>Пост!$D$16+Пост!$D$18+Пост!$D$21</f>
        <v>953.34312626455676</v>
      </c>
      <c r="Y12" s="102">
        <f>Пост!$D$16+Пост!$D$18+Пост!$D$21</f>
        <v>953.34312626455676</v>
      </c>
      <c r="Z12" s="102">
        <f>Пост!$D$16+Пост!$D$18+Пост!$D$21</f>
        <v>953.34312626455676</v>
      </c>
      <c r="AA12" s="102">
        <f>Пост!$D$16+Пост!$D$18+Пост!$D$21</f>
        <v>953.34312626455676</v>
      </c>
      <c r="AB12" s="102">
        <f>Пост!$D$16+Пост!$D$18+Пост!$D$21</f>
        <v>953.34312626455676</v>
      </c>
      <c r="AC12" s="99">
        <f t="shared" ref="AC12:AC17" si="7">SUM(Q12:AB12)</f>
        <v>11440.117515174685</v>
      </c>
      <c r="AD12" s="102">
        <f>(Пост!E16+Пост!E18+Пост!E21)*12</f>
        <v>11468.245135636282</v>
      </c>
      <c r="AE12" s="102">
        <f>(Пост!F16+Пост!F18+Пост!F21)*12</f>
        <v>11499.672756097882</v>
      </c>
      <c r="AF12" s="102">
        <f>(Пост!G16+Пост!G18+Пост!G21)*12</f>
        <v>11534.730376559482</v>
      </c>
      <c r="AG12" s="102">
        <f>(Пост!H16+Пост!H18+Пост!H21)*12</f>
        <v>11573.780997021082</v>
      </c>
      <c r="AH12" s="102">
        <f>(Пост!I16+Пост!I18+Пост!I21)*12</f>
        <v>11617.223917482683</v>
      </c>
    </row>
    <row r="13" spans="1:35" ht="15" customHeight="1">
      <c r="A13" s="104" t="s">
        <v>84</v>
      </c>
      <c r="B13" s="98">
        <f t="shared" si="3"/>
        <v>16922.554530814035</v>
      </c>
      <c r="C13" s="99"/>
      <c r="D13" s="102"/>
      <c r="E13" s="102"/>
      <c r="F13" s="102"/>
      <c r="G13" s="102">
        <f>Пост!$C$31/12</f>
        <v>208.92042630634614</v>
      </c>
      <c r="H13" s="102">
        <f>Пост!$C$31/12</f>
        <v>208.92042630634614</v>
      </c>
      <c r="I13" s="102">
        <f>Пост!$C$31/12</f>
        <v>208.92042630634614</v>
      </c>
      <c r="J13" s="102">
        <f>Пост!$C$31/12</f>
        <v>208.92042630634614</v>
      </c>
      <c r="K13" s="102">
        <f>Пост!$C$31/12</f>
        <v>208.92042630634614</v>
      </c>
      <c r="L13" s="102">
        <f>Пост!$C$31/12</f>
        <v>208.92042630634614</v>
      </c>
      <c r="M13" s="102">
        <f>Пост!$C$31/12</f>
        <v>208.92042630634614</v>
      </c>
      <c r="N13" s="102">
        <f>Пост!$C$31/12</f>
        <v>208.92042630634614</v>
      </c>
      <c r="O13" s="102">
        <f>Пост!$C$31/12</f>
        <v>208.92042630634614</v>
      </c>
      <c r="P13" s="99">
        <f t="shared" si="6"/>
        <v>1880.2838367571153</v>
      </c>
      <c r="Q13" s="102">
        <f>Пост!$D$31/12</f>
        <v>208.92042630634614</v>
      </c>
      <c r="R13" s="102">
        <f>Пост!$D$31/12</f>
        <v>208.92042630634614</v>
      </c>
      <c r="S13" s="102">
        <f>Пост!$D$31/12</f>
        <v>208.92042630634614</v>
      </c>
      <c r="T13" s="102">
        <f>Пост!$D$31/12</f>
        <v>208.92042630634614</v>
      </c>
      <c r="U13" s="102">
        <f>Пост!$D$31/12</f>
        <v>208.92042630634614</v>
      </c>
      <c r="V13" s="102">
        <f>Пост!$D$31/12</f>
        <v>208.92042630634614</v>
      </c>
      <c r="W13" s="102">
        <f>Пост!$D$31/12</f>
        <v>208.92042630634614</v>
      </c>
      <c r="X13" s="102">
        <f>Пост!$D$31/12</f>
        <v>208.92042630634614</v>
      </c>
      <c r="Y13" s="102">
        <f>Пост!$D$31/12</f>
        <v>208.92042630634614</v>
      </c>
      <c r="Z13" s="102">
        <f>Пост!$D$31/12</f>
        <v>208.92042630634614</v>
      </c>
      <c r="AA13" s="102">
        <f>Пост!$D$31/12</f>
        <v>208.92042630634614</v>
      </c>
      <c r="AB13" s="102">
        <f>Пост!$D$31/12</f>
        <v>208.92042630634614</v>
      </c>
      <c r="AC13" s="99">
        <f t="shared" si="7"/>
        <v>2507.0451156761537</v>
      </c>
      <c r="AD13" s="102">
        <f>Пост!E31</f>
        <v>2507.0451156761537</v>
      </c>
      <c r="AE13" s="102">
        <f>Пост!F31</f>
        <v>2507.0451156761537</v>
      </c>
      <c r="AF13" s="102">
        <f>Пост!G31</f>
        <v>2507.0451156761537</v>
      </c>
      <c r="AG13" s="102">
        <f>Пост!H31</f>
        <v>2507.0451156761537</v>
      </c>
      <c r="AH13" s="102">
        <f>Пост!I31</f>
        <v>2507.0451156761537</v>
      </c>
    </row>
    <row r="14" spans="1:35" ht="15" customHeight="1">
      <c r="A14" s="104" t="s">
        <v>29</v>
      </c>
      <c r="B14" s="98">
        <f t="shared" si="3"/>
        <v>14014.168251133144</v>
      </c>
      <c r="C14" s="99"/>
      <c r="D14" s="102">
        <f>кр!C9</f>
        <v>0</v>
      </c>
      <c r="E14" s="102">
        <f>кр!D9</f>
        <v>36.784660929904526</v>
      </c>
      <c r="F14" s="102">
        <f>кр!E9</f>
        <v>94.16399489142799</v>
      </c>
      <c r="G14" s="102">
        <f>кр!F9</f>
        <v>294.37009471148008</v>
      </c>
      <c r="H14" s="102">
        <f>кр!G9</f>
        <v>294.37009471148008</v>
      </c>
      <c r="I14" s="102">
        <f>кр!H9</f>
        <v>294.37009471148008</v>
      </c>
      <c r="J14" s="102">
        <f>кр!I9</f>
        <v>306.62009471148008</v>
      </c>
      <c r="K14" s="102">
        <f>кр!J9</f>
        <v>306.62009471148008</v>
      </c>
      <c r="L14" s="102">
        <f>кр!K9</f>
        <v>306.62009471148008</v>
      </c>
      <c r="M14" s="102">
        <f>кр!L9</f>
        <v>317.90129018533963</v>
      </c>
      <c r="N14" s="102">
        <f>кр!M9</f>
        <v>313.66260631620179</v>
      </c>
      <c r="O14" s="102">
        <f>кр!N9</f>
        <v>309.42392244706394</v>
      </c>
      <c r="P14" s="99">
        <f t="shared" si="6"/>
        <v>2874.9070430388183</v>
      </c>
      <c r="Q14" s="102">
        <f>кр!P9</f>
        <v>305.1852385779261</v>
      </c>
      <c r="R14" s="102">
        <f>кр!Q9</f>
        <v>300.94655470878826</v>
      </c>
      <c r="S14" s="102">
        <f>кр!R9</f>
        <v>296.70787083965041</v>
      </c>
      <c r="T14" s="102">
        <f>кр!S9</f>
        <v>292.46918697051257</v>
      </c>
      <c r="U14" s="102">
        <f>кр!T9</f>
        <v>288.23050310137472</v>
      </c>
      <c r="V14" s="102">
        <f>кр!U9</f>
        <v>283.99181923223688</v>
      </c>
      <c r="W14" s="102">
        <f>кр!V9</f>
        <v>279.75313536309903</v>
      </c>
      <c r="X14" s="102">
        <f>кр!W9</f>
        <v>275.51445149396119</v>
      </c>
      <c r="Y14" s="102">
        <f>кр!X9</f>
        <v>271.27576762482335</v>
      </c>
      <c r="Z14" s="102">
        <f>кр!Y9</f>
        <v>267.0370837556855</v>
      </c>
      <c r="AA14" s="102">
        <f>кр!Z9</f>
        <v>262.79839988654766</v>
      </c>
      <c r="AB14" s="102">
        <f>кр!AA9</f>
        <v>258.55971601740981</v>
      </c>
      <c r="AC14" s="99">
        <f t="shared" si="7"/>
        <v>3382.4697275720155</v>
      </c>
      <c r="AD14" s="102">
        <f>кр!AO9</f>
        <v>2772.0992504161654</v>
      </c>
      <c r="AE14" s="102">
        <f>кр!BB9</f>
        <v>2161.7287732603149</v>
      </c>
      <c r="AF14" s="102">
        <f>кр!BO9</f>
        <v>1551.3582961044622</v>
      </c>
      <c r="AG14" s="102">
        <f>кр!CB9</f>
        <v>940.98781894860917</v>
      </c>
      <c r="AH14" s="102">
        <f>кр!CO9</f>
        <v>330.61734179275652</v>
      </c>
    </row>
    <row r="15" spans="1:35" ht="15" customHeight="1">
      <c r="A15" s="104" t="s">
        <v>37</v>
      </c>
      <c r="B15" s="98">
        <f t="shared" si="3"/>
        <v>59762.798903171431</v>
      </c>
      <c r="C15" s="103"/>
      <c r="D15" s="102">
        <f>D11-D12-D14-D13</f>
        <v>0</v>
      </c>
      <c r="E15" s="102">
        <f t="shared" ref="E15:O15" si="8">E11-E12-E14-E13</f>
        <v>-36.784660929904526</v>
      </c>
      <c r="F15" s="102">
        <f t="shared" si="8"/>
        <v>-94.16399489142799</v>
      </c>
      <c r="G15" s="102">
        <f t="shared" si="8"/>
        <v>-631.60444788379721</v>
      </c>
      <c r="H15" s="102">
        <f t="shared" si="8"/>
        <v>-631.60444788379721</v>
      </c>
      <c r="I15" s="102">
        <f t="shared" si="8"/>
        <v>-631.60444788379721</v>
      </c>
      <c r="J15" s="102">
        <f t="shared" si="8"/>
        <v>-643.85444788379721</v>
      </c>
      <c r="K15" s="102">
        <f t="shared" si="8"/>
        <v>-643.85444788379721</v>
      </c>
      <c r="L15" s="102">
        <f t="shared" si="8"/>
        <v>-643.85444788379721</v>
      </c>
      <c r="M15" s="102">
        <f t="shared" si="8"/>
        <v>-655.13564335765682</v>
      </c>
      <c r="N15" s="102">
        <f t="shared" si="8"/>
        <v>-650.89695948851886</v>
      </c>
      <c r="O15" s="102">
        <f t="shared" si="8"/>
        <v>-646.65827561938113</v>
      </c>
      <c r="P15" s="99">
        <f t="shared" si="6"/>
        <v>-5910.0162215896717</v>
      </c>
      <c r="Q15" s="102">
        <f t="shared" ref="Q15:AB15" si="9">Q11-Q12-Q14-Q13</f>
        <v>278.01209309496386</v>
      </c>
      <c r="R15" s="102">
        <f t="shared" si="9"/>
        <v>282.2507769641017</v>
      </c>
      <c r="S15" s="102">
        <f t="shared" si="9"/>
        <v>286.48946083323955</v>
      </c>
      <c r="T15" s="102">
        <f t="shared" si="9"/>
        <v>290.72814470237739</v>
      </c>
      <c r="U15" s="102">
        <f t="shared" si="9"/>
        <v>294.96682857151524</v>
      </c>
      <c r="V15" s="102">
        <f t="shared" si="9"/>
        <v>299.20551244065308</v>
      </c>
      <c r="W15" s="102">
        <f t="shared" si="9"/>
        <v>303.44419630979087</v>
      </c>
      <c r="X15" s="102">
        <f t="shared" si="9"/>
        <v>307.68288017892883</v>
      </c>
      <c r="Y15" s="102">
        <f t="shared" si="9"/>
        <v>311.92156404806656</v>
      </c>
      <c r="Z15" s="102">
        <f t="shared" si="9"/>
        <v>316.16024791720452</v>
      </c>
      <c r="AA15" s="102">
        <f t="shared" si="9"/>
        <v>320.39893178634225</v>
      </c>
      <c r="AB15" s="102">
        <f t="shared" si="9"/>
        <v>324.6376156554802</v>
      </c>
      <c r="AC15" s="99">
        <f t="shared" si="7"/>
        <v>3615.8982525026645</v>
      </c>
      <c r="AD15" s="102">
        <f>AD11-AD12-AD14-AD13</f>
        <v>6416.0910588313818</v>
      </c>
      <c r="AE15" s="102">
        <f>AE11-AE12-AE14-AE13</f>
        <v>11273.76944976244</v>
      </c>
      <c r="AF15" s="102">
        <f>AF11-AF12-AF14-AF13</f>
        <v>8796.3657317525704</v>
      </c>
      <c r="AG15" s="102">
        <f>AG11-AG12-AG14-AG13</f>
        <v>17529.335390921384</v>
      </c>
      <c r="AH15" s="102">
        <f>AH11-AH12-AH14-AH13</f>
        <v>18041.355240990662</v>
      </c>
    </row>
    <row r="16" spans="1:35" ht="15" customHeight="1">
      <c r="A16" s="104" t="s">
        <v>30</v>
      </c>
      <c r="B16" s="98">
        <f t="shared" si="3"/>
        <v>3585.7679341902858</v>
      </c>
      <c r="C16" s="99"/>
      <c r="D16" s="102">
        <f>IF(D15+C18&lt;0,0,IF(C18&lt;0,(C18+D15)*Исх!$C$19,D15*Исх!$C$19))</f>
        <v>0</v>
      </c>
      <c r="E16" s="102">
        <f>IF(E15+D18&lt;0,0,IF(D18&lt;0,(D18+E15)*Исх!$C$19,E15*Исх!$C$19))</f>
        <v>0</v>
      </c>
      <c r="F16" s="102">
        <f>IF(F15+E18&lt;0,0,IF(E18&lt;0,(E18+F15)*Исх!$C$19,F15*Исх!$C$19))</f>
        <v>0</v>
      </c>
      <c r="G16" s="102">
        <f>IF(G15+F18&lt;0,0,IF(F18&lt;0,(F18+G15)*Исх!$C$19,G15*Исх!$C$19))</f>
        <v>0</v>
      </c>
      <c r="H16" s="102">
        <f>IF(H15+G18&lt;0,0,IF(G18&lt;0,(G18+H15)*Исх!$C$19,H15*Исх!$C$19))</f>
        <v>0</v>
      </c>
      <c r="I16" s="102">
        <f>IF(I15+H18&lt;0,0,IF(H18&lt;0,(H18+I15)*Исх!$C$19,I15*Исх!$C$19))</f>
        <v>0</v>
      </c>
      <c r="J16" s="102">
        <f>IF(J15+I18&lt;0,0,IF(I18&lt;0,(I18+J15)*Исх!$C$19,J15*Исх!$C$19))</f>
        <v>0</v>
      </c>
      <c r="K16" s="102">
        <f>IF(K15+J18&lt;0,0,IF(J18&lt;0,(J18+K15)*Исх!$C$19,K15*Исх!$C$19))</f>
        <v>0</v>
      </c>
      <c r="L16" s="102">
        <f>IF(L15+K18&lt;0,0,IF(K18&lt;0,(K18+L15)*Исх!$C$19,L15*Исх!$C$19))</f>
        <v>0</v>
      </c>
      <c r="M16" s="102">
        <f>IF(M15+L18&lt;0,0,IF(L18&lt;0,(L18+M15)*Исх!$C$19,M15*Исх!$C$19))</f>
        <v>0</v>
      </c>
      <c r="N16" s="102">
        <f>IF(N15+M18&lt;0,0,IF(M18&lt;0,(M18+N15)*Исх!$C$19,N15*Исх!$C$19))</f>
        <v>0</v>
      </c>
      <c r="O16" s="102">
        <f>IF(O15+N18&lt;0,0,IF(N18&lt;0,(N18+O15)*Исх!$C$19,O15*Исх!$C$19))</f>
        <v>0</v>
      </c>
      <c r="P16" s="99">
        <f t="shared" si="6"/>
        <v>0</v>
      </c>
      <c r="Q16" s="102">
        <f>IF(Q15+P18&lt;0,0,IF(P18&lt;0,(P18+Q15)*Исх!$C$19,Q15*Исх!$C$19))</f>
        <v>0</v>
      </c>
      <c r="R16" s="102">
        <f>IF(R15+Q18&lt;0,0,IF(Q18&lt;0,(Q18+R15)*Исх!$C$19,R15*Исх!$C$19))</f>
        <v>0</v>
      </c>
      <c r="S16" s="102">
        <f>IF(S15+R18&lt;0,0,IF(R18&lt;0,(R18+S15)*Исх!$C$19,S15*Исх!$C$19))</f>
        <v>0</v>
      </c>
      <c r="T16" s="102">
        <f>IF(T15+S18&lt;0,0,IF(S18&lt;0,(S18+T15)*Исх!$C$19,T15*Исх!$C$19))</f>
        <v>0</v>
      </c>
      <c r="U16" s="102">
        <f>IF(U15+T18&lt;0,0,IF(T18&lt;0,(T18+U15)*Исх!$C$19,U15*Исх!$C$19))</f>
        <v>0</v>
      </c>
      <c r="V16" s="102">
        <f>IF(V15+U18&lt;0,0,IF(U18&lt;0,(U18+V15)*Исх!$C$19,V15*Исх!$C$19))</f>
        <v>0</v>
      </c>
      <c r="W16" s="102">
        <f>IF(W15+V18&lt;0,0,IF(V18&lt;0,(V18+W15)*Исх!$C$19,W15*Исх!$C$19))</f>
        <v>0</v>
      </c>
      <c r="X16" s="102">
        <f>IF(X15+W18&lt;0,0,IF(W18&lt;0,(W18+X15)*Исх!$C$19,X15*Исх!$C$19))</f>
        <v>0</v>
      </c>
      <c r="Y16" s="102">
        <f>IF(Y15+X18&lt;0,0,IF(X18&lt;0,(X18+Y15)*Исх!$C$19,Y15*Исх!$C$19))</f>
        <v>0</v>
      </c>
      <c r="Z16" s="102">
        <f>IF(Z15+Y18&lt;0,0,IF(Y18&lt;0,(Y18+Z15)*Исх!$C$19,Z15*Исх!$C$19))</f>
        <v>0</v>
      </c>
      <c r="AA16" s="102">
        <f>IF(AA15+Z18&lt;0,0,IF(Z18&lt;0,(Z18+AA15)*Исх!$C$19,AA15*Исх!$C$19))</f>
        <v>0</v>
      </c>
      <c r="AB16" s="102">
        <f>IF(AB15+AA18&lt;0,0,IF(AA18&lt;0,(AA18+AB15)*Исх!$C$19,AB15*Исх!$C$19))</f>
        <v>0</v>
      </c>
      <c r="AC16" s="99">
        <f t="shared" si="7"/>
        <v>0</v>
      </c>
      <c r="AD16" s="102">
        <f>IF(AD15+AC18&lt;0,0,IF(AC18&lt;0,(AC18+AD15)*Исх!$C$19,AD15*Исх!$C$19))</f>
        <v>247.31838538466249</v>
      </c>
      <c r="AE16" s="102">
        <f>IF(AE15+AD18&lt;0,0,IF(AD18&lt;0,(AD18+AE15)*Исх!$C$19,AE15*Исх!$C$19))</f>
        <v>676.42616698574636</v>
      </c>
      <c r="AF16" s="102">
        <f>IF(AF15+AE18&lt;0,0,IF(AE18&lt;0,(AE18+AF15)*Исх!$C$19,AF15*Исх!$C$19))</f>
        <v>527.78194390515421</v>
      </c>
      <c r="AG16" s="102">
        <f>IF(AG15+AF18&lt;0,0,IF(AF18&lt;0,(AF18+AG15)*Исх!$C$19,AG15*Исх!$C$19))</f>
        <v>1051.7601234552831</v>
      </c>
      <c r="AH16" s="102">
        <f>IF(AH15+AG18&lt;0,0,IF(AG18&lt;0,(AG18+AH15)*Исх!$C$19,AH15*Исх!$C$19))</f>
        <v>1082.4813144594398</v>
      </c>
    </row>
    <row r="17" spans="1:177" ht="15" customHeight="1">
      <c r="A17" s="104" t="s">
        <v>4</v>
      </c>
      <c r="B17" s="98">
        <f t="shared" si="3"/>
        <v>56177.03096898114</v>
      </c>
      <c r="C17" s="103"/>
      <c r="D17" s="102">
        <f t="shared" ref="D17:Q17" si="10">D15-D16</f>
        <v>0</v>
      </c>
      <c r="E17" s="102">
        <f>E15-E16</f>
        <v>-36.784660929904526</v>
      </c>
      <c r="F17" s="102">
        <f t="shared" si="10"/>
        <v>-94.16399489142799</v>
      </c>
      <c r="G17" s="102">
        <f t="shared" si="10"/>
        <v>-631.60444788379721</v>
      </c>
      <c r="H17" s="102">
        <f t="shared" si="10"/>
        <v>-631.60444788379721</v>
      </c>
      <c r="I17" s="102">
        <f t="shared" si="10"/>
        <v>-631.60444788379721</v>
      </c>
      <c r="J17" s="102">
        <f t="shared" si="10"/>
        <v>-643.85444788379721</v>
      </c>
      <c r="K17" s="102">
        <f t="shared" si="10"/>
        <v>-643.85444788379721</v>
      </c>
      <c r="L17" s="102">
        <f t="shared" si="10"/>
        <v>-643.85444788379721</v>
      </c>
      <c r="M17" s="102">
        <f t="shared" si="10"/>
        <v>-655.13564335765682</v>
      </c>
      <c r="N17" s="102">
        <f t="shared" si="10"/>
        <v>-650.89695948851886</v>
      </c>
      <c r="O17" s="102">
        <f t="shared" si="10"/>
        <v>-646.65827561938113</v>
      </c>
      <c r="P17" s="99">
        <f t="shared" si="6"/>
        <v>-5910.0162215896717</v>
      </c>
      <c r="Q17" s="102">
        <f t="shared" si="10"/>
        <v>278.01209309496386</v>
      </c>
      <c r="R17" s="102">
        <f t="shared" ref="R17:AF17" si="11">R15-R16</f>
        <v>282.2507769641017</v>
      </c>
      <c r="S17" s="102">
        <f t="shared" si="11"/>
        <v>286.48946083323955</v>
      </c>
      <c r="T17" s="102">
        <f t="shared" si="11"/>
        <v>290.72814470237739</v>
      </c>
      <c r="U17" s="102">
        <f t="shared" si="11"/>
        <v>294.96682857151524</v>
      </c>
      <c r="V17" s="102">
        <f t="shared" si="11"/>
        <v>299.20551244065308</v>
      </c>
      <c r="W17" s="102">
        <f t="shared" si="11"/>
        <v>303.44419630979087</v>
      </c>
      <c r="X17" s="102">
        <f t="shared" si="11"/>
        <v>307.68288017892883</v>
      </c>
      <c r="Y17" s="102">
        <f t="shared" si="11"/>
        <v>311.92156404806656</v>
      </c>
      <c r="Z17" s="102">
        <f t="shared" si="11"/>
        <v>316.16024791720452</v>
      </c>
      <c r="AA17" s="102">
        <f t="shared" si="11"/>
        <v>320.39893178634225</v>
      </c>
      <c r="AB17" s="102">
        <f t="shared" si="11"/>
        <v>324.6376156554802</v>
      </c>
      <c r="AC17" s="99">
        <f t="shared" si="7"/>
        <v>3615.8982525026645</v>
      </c>
      <c r="AD17" s="102">
        <f t="shared" si="11"/>
        <v>6168.7726734467196</v>
      </c>
      <c r="AE17" s="102">
        <f t="shared" si="11"/>
        <v>10597.343282776694</v>
      </c>
      <c r="AF17" s="102">
        <f t="shared" si="11"/>
        <v>8268.5837878474158</v>
      </c>
      <c r="AG17" s="102">
        <f>AG15-AG16</f>
        <v>16477.575267466102</v>
      </c>
      <c r="AH17" s="102">
        <f>AH15-AH16</f>
        <v>16958.873926531222</v>
      </c>
    </row>
    <row r="18" spans="1:177" ht="15" customHeight="1">
      <c r="A18" s="104" t="s">
        <v>35</v>
      </c>
      <c r="B18" s="105">
        <f>AH18</f>
        <v>56177.03096898114</v>
      </c>
      <c r="C18" s="106"/>
      <c r="D18" s="102">
        <f>C18+D17</f>
        <v>0</v>
      </c>
      <c r="E18" s="102">
        <f>D18+E17</f>
        <v>-36.784660929904526</v>
      </c>
      <c r="F18" s="102">
        <f t="shared" ref="F18:O18" si="12">E18+F17</f>
        <v>-130.94865582133252</v>
      </c>
      <c r="G18" s="102">
        <f t="shared" si="12"/>
        <v>-762.55310370512973</v>
      </c>
      <c r="H18" s="102">
        <f t="shared" si="12"/>
        <v>-1394.1575515889269</v>
      </c>
      <c r="I18" s="102">
        <f t="shared" si="12"/>
        <v>-2025.7619994727243</v>
      </c>
      <c r="J18" s="102">
        <f t="shared" si="12"/>
        <v>-2669.6164473565213</v>
      </c>
      <c r="K18" s="102">
        <f t="shared" si="12"/>
        <v>-3313.4708952403184</v>
      </c>
      <c r="L18" s="102">
        <f t="shared" si="12"/>
        <v>-3957.3253431241155</v>
      </c>
      <c r="M18" s="102">
        <f t="shared" si="12"/>
        <v>-4612.4609864817721</v>
      </c>
      <c r="N18" s="102">
        <f t="shared" si="12"/>
        <v>-5263.3579459702905</v>
      </c>
      <c r="O18" s="102">
        <f t="shared" si="12"/>
        <v>-5910.0162215896717</v>
      </c>
      <c r="P18" s="99">
        <f>O18</f>
        <v>-5910.0162215896717</v>
      </c>
      <c r="Q18" s="102">
        <f>P18+Q17</f>
        <v>-5632.0041284947074</v>
      </c>
      <c r="R18" s="102">
        <f t="shared" ref="R18:AA18" si="13">Q18+R17</f>
        <v>-5349.7533515306059</v>
      </c>
      <c r="S18" s="102">
        <f t="shared" si="13"/>
        <v>-5063.2638906973662</v>
      </c>
      <c r="T18" s="102">
        <f t="shared" si="13"/>
        <v>-4772.5357459949892</v>
      </c>
      <c r="U18" s="102">
        <f t="shared" si="13"/>
        <v>-4477.568917423474</v>
      </c>
      <c r="V18" s="102">
        <f t="shared" si="13"/>
        <v>-4178.3634049828206</v>
      </c>
      <c r="W18" s="102">
        <f t="shared" si="13"/>
        <v>-3874.91920867303</v>
      </c>
      <c r="X18" s="102">
        <f t="shared" si="13"/>
        <v>-3567.2363284941011</v>
      </c>
      <c r="Y18" s="102">
        <f t="shared" si="13"/>
        <v>-3255.3147644460346</v>
      </c>
      <c r="Z18" s="102">
        <f t="shared" si="13"/>
        <v>-2939.1545165288298</v>
      </c>
      <c r="AA18" s="102">
        <f t="shared" si="13"/>
        <v>-2618.7555847424874</v>
      </c>
      <c r="AB18" s="102">
        <f>AA18+AB17</f>
        <v>-2294.1179690870072</v>
      </c>
      <c r="AC18" s="99">
        <f>AB18</f>
        <v>-2294.1179690870072</v>
      </c>
      <c r="AD18" s="102">
        <f>AC18+AD17</f>
        <v>3874.6547043597125</v>
      </c>
      <c r="AE18" s="102">
        <f>AD18+AE17</f>
        <v>14471.997987136407</v>
      </c>
      <c r="AF18" s="102">
        <f>AE18+AF17</f>
        <v>22740.581774983824</v>
      </c>
      <c r="AG18" s="102">
        <f>AF18+AG17</f>
        <v>39218.157042449922</v>
      </c>
      <c r="AH18" s="102">
        <f>AG18+AH17</f>
        <v>56177.03096898114</v>
      </c>
    </row>
    <row r="19" spans="1:177" ht="15" customHeight="1">
      <c r="A19" s="107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</row>
    <row r="20" spans="1:177" ht="15" customHeight="1">
      <c r="A20" s="90"/>
      <c r="B20" s="108"/>
      <c r="C20" s="108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</row>
    <row r="21" spans="1:177" ht="15" customHeight="1">
      <c r="A21" s="107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</row>
    <row r="22" spans="1:177">
      <c r="A22" s="109" t="s">
        <v>58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177" s="113" customFormat="1">
      <c r="A23" s="362" t="s">
        <v>3</v>
      </c>
      <c r="B23" s="365" t="s">
        <v>0</v>
      </c>
      <c r="C23" s="110"/>
      <c r="D23" s="356">
        <f>D3</f>
        <v>2012</v>
      </c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8"/>
      <c r="Q23" s="356">
        <f>Q3</f>
        <v>2013</v>
      </c>
      <c r="R23" s="357"/>
      <c r="S23" s="357"/>
      <c r="T23" s="357"/>
      <c r="U23" s="357"/>
      <c r="V23" s="357"/>
      <c r="W23" s="357"/>
      <c r="X23" s="357"/>
      <c r="Y23" s="357"/>
      <c r="Z23" s="357"/>
      <c r="AA23" s="357"/>
      <c r="AB23" s="357"/>
      <c r="AC23" s="358"/>
      <c r="AD23" s="111">
        <f>AD3</f>
        <v>2014</v>
      </c>
      <c r="AE23" s="111">
        <f>AE3</f>
        <v>2015</v>
      </c>
      <c r="AF23" s="111">
        <f>AF3</f>
        <v>2016</v>
      </c>
      <c r="AG23" s="111">
        <f>AG3</f>
        <v>2017</v>
      </c>
      <c r="AH23" s="111">
        <f>AH3</f>
        <v>2018</v>
      </c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</row>
    <row r="24" spans="1:177" s="113" customFormat="1" ht="19.5" customHeight="1">
      <c r="A24" s="363"/>
      <c r="B24" s="366"/>
      <c r="C24" s="114"/>
      <c r="D24" s="115">
        <f>D4</f>
        <v>1</v>
      </c>
      <c r="E24" s="115">
        <f t="shared" ref="E24:O24" si="14">E4</f>
        <v>2</v>
      </c>
      <c r="F24" s="115">
        <f t="shared" si="14"/>
        <v>3</v>
      </c>
      <c r="G24" s="115">
        <f t="shared" si="14"/>
        <v>4</v>
      </c>
      <c r="H24" s="115">
        <f t="shared" si="14"/>
        <v>5</v>
      </c>
      <c r="I24" s="115">
        <f t="shared" si="14"/>
        <v>6</v>
      </c>
      <c r="J24" s="115">
        <f t="shared" si="14"/>
        <v>7</v>
      </c>
      <c r="K24" s="115">
        <f t="shared" si="14"/>
        <v>8</v>
      </c>
      <c r="L24" s="115">
        <f t="shared" si="14"/>
        <v>9</v>
      </c>
      <c r="M24" s="115">
        <f t="shared" si="14"/>
        <v>10</v>
      </c>
      <c r="N24" s="115">
        <f t="shared" si="14"/>
        <v>11</v>
      </c>
      <c r="O24" s="115">
        <f t="shared" si="14"/>
        <v>12</v>
      </c>
      <c r="P24" s="116" t="s">
        <v>0</v>
      </c>
      <c r="Q24" s="115">
        <f>Q4</f>
        <v>1</v>
      </c>
      <c r="R24" s="115">
        <f t="shared" ref="R24:AB24" si="15">R4</f>
        <v>2</v>
      </c>
      <c r="S24" s="115">
        <f t="shared" si="15"/>
        <v>3</v>
      </c>
      <c r="T24" s="115">
        <f t="shared" si="15"/>
        <v>4</v>
      </c>
      <c r="U24" s="115">
        <f t="shared" si="15"/>
        <v>5</v>
      </c>
      <c r="V24" s="115">
        <f t="shared" si="15"/>
        <v>6</v>
      </c>
      <c r="W24" s="115">
        <f t="shared" si="15"/>
        <v>7</v>
      </c>
      <c r="X24" s="115">
        <f t="shared" si="15"/>
        <v>8</v>
      </c>
      <c r="Y24" s="115">
        <f t="shared" si="15"/>
        <v>9</v>
      </c>
      <c r="Z24" s="115">
        <f t="shared" si="15"/>
        <v>10</v>
      </c>
      <c r="AA24" s="115">
        <f t="shared" si="15"/>
        <v>11</v>
      </c>
      <c r="AB24" s="115">
        <f t="shared" si="15"/>
        <v>12</v>
      </c>
      <c r="AC24" s="116" t="s">
        <v>0</v>
      </c>
      <c r="AD24" s="116"/>
      <c r="AE24" s="116"/>
      <c r="AF24" s="116"/>
      <c r="AG24" s="116"/>
      <c r="AH24" s="116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</row>
    <row r="25" spans="1:177" s="113" customFormat="1">
      <c r="A25" s="117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</row>
    <row r="26" spans="1:177" s="113" customFormat="1">
      <c r="A26" s="117" t="s">
        <v>186</v>
      </c>
      <c r="B26" s="105">
        <f>P26+AC26+AD26+AE26+AF26+AG26+AH26</f>
        <v>31849.559012193757</v>
      </c>
      <c r="C26" s="119"/>
      <c r="D26" s="119">
        <f>D5*ндс</f>
        <v>0</v>
      </c>
      <c r="E26" s="119">
        <f>E5*ндс</f>
        <v>0</v>
      </c>
      <c r="F26" s="119">
        <f t="shared" ref="F26:O26" si="16">F5*ндс</f>
        <v>0</v>
      </c>
      <c r="G26" s="119">
        <f t="shared" si="16"/>
        <v>209.51999999999998</v>
      </c>
      <c r="H26" s="119">
        <f t="shared" si="16"/>
        <v>209.51999999999998</v>
      </c>
      <c r="I26" s="119">
        <f t="shared" si="16"/>
        <v>209.51999999999998</v>
      </c>
      <c r="J26" s="119">
        <f t="shared" si="16"/>
        <v>209.51999999999998</v>
      </c>
      <c r="K26" s="119">
        <f t="shared" si="16"/>
        <v>209.51999999999998</v>
      </c>
      <c r="L26" s="119">
        <f t="shared" si="16"/>
        <v>209.51999999999998</v>
      </c>
      <c r="M26" s="119">
        <f>M5*ндс</f>
        <v>209.51999999999998</v>
      </c>
      <c r="N26" s="119">
        <f t="shared" si="16"/>
        <v>209.51999999999998</v>
      </c>
      <c r="O26" s="119">
        <f t="shared" si="16"/>
        <v>209.51999999999998</v>
      </c>
      <c r="P26" s="120">
        <f>SUM(D26:O26)</f>
        <v>1885.6799999999998</v>
      </c>
      <c r="Q26" s="119">
        <f t="shared" ref="Q26:AF26" si="17">Q5*ндс</f>
        <v>328.07691249999999</v>
      </c>
      <c r="R26" s="119">
        <f t="shared" si="17"/>
        <v>328.07691249999999</v>
      </c>
      <c r="S26" s="119">
        <f t="shared" si="17"/>
        <v>328.07691249999999</v>
      </c>
      <c r="T26" s="119">
        <f t="shared" si="17"/>
        <v>328.07691249999999</v>
      </c>
      <c r="U26" s="119">
        <f t="shared" si="17"/>
        <v>328.07691249999999</v>
      </c>
      <c r="V26" s="119">
        <f t="shared" si="17"/>
        <v>328.07691249999999</v>
      </c>
      <c r="W26" s="119">
        <f t="shared" si="17"/>
        <v>328.07691249999999</v>
      </c>
      <c r="X26" s="119">
        <f t="shared" si="17"/>
        <v>328.07691249999999</v>
      </c>
      <c r="Y26" s="119">
        <f t="shared" si="17"/>
        <v>328.07691249999999</v>
      </c>
      <c r="Z26" s="119">
        <f t="shared" si="17"/>
        <v>328.07691249999999</v>
      </c>
      <c r="AA26" s="119">
        <f t="shared" si="17"/>
        <v>328.07691249999999</v>
      </c>
      <c r="AB26" s="119">
        <f t="shared" si="17"/>
        <v>328.07691249999999</v>
      </c>
      <c r="AC26" s="120">
        <f>SUM(Q26:AB26)</f>
        <v>3936.9229500000006</v>
      </c>
      <c r="AD26" s="119">
        <f t="shared" si="17"/>
        <v>4325.6009775000002</v>
      </c>
      <c r="AE26" s="119">
        <f t="shared" si="17"/>
        <v>4986.7076550000002</v>
      </c>
      <c r="AF26" s="119">
        <f t="shared" si="17"/>
        <v>4717.5935523750013</v>
      </c>
      <c r="AG26" s="119">
        <f>AG5*ндс</f>
        <v>5912.2089596250016</v>
      </c>
      <c r="AH26" s="119">
        <f>AH5*ндс</f>
        <v>6084.844917693752</v>
      </c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</row>
    <row r="27" spans="1:177" s="113" customFormat="1">
      <c r="A27" s="117" t="s">
        <v>187</v>
      </c>
      <c r="B27" s="105">
        <f>P27+AC27+AD27+AE27+AF27+AG27+AH27</f>
        <v>4867.9284792421859</v>
      </c>
      <c r="C27" s="119"/>
      <c r="D27" s="119"/>
      <c r="E27" s="119"/>
      <c r="F27" s="119">
        <f>'1-Ф3'!F13/Исх!$C$18*ндс</f>
        <v>78.252036830357127</v>
      </c>
      <c r="G27" s="119">
        <f>(G9+G12-Пост!$C$6-Пост!$C$18-Пост!$C$21)*ндс</f>
        <v>50.941155133928561</v>
      </c>
      <c r="H27" s="119">
        <f>(H9+H12-Пост!$C$6-Пост!$C$18-Пост!$C$21)*ндс</f>
        <v>50.941155133928561</v>
      </c>
      <c r="I27" s="119">
        <f>(I9+I12-Пост!$C$6-Пост!$C$18-Пост!$C$21)*ндс</f>
        <v>50.941155133928561</v>
      </c>
      <c r="J27" s="119">
        <f>(J9+J12-Пост!$C$6-Пост!$C$18-Пост!$C$21)*ндс</f>
        <v>50.941155133928561</v>
      </c>
      <c r="K27" s="119">
        <f>(K9+K12-Пост!$C$6-Пост!$C$18-Пост!$C$21)*ндс</f>
        <v>50.941155133928561</v>
      </c>
      <c r="L27" s="119">
        <f>(L9+L12-Пост!$C$6-Пост!$C$18-Пост!$C$21)*ндс</f>
        <v>50.941155133928561</v>
      </c>
      <c r="M27" s="119">
        <f>(M9+M12-Пост!$C$6-Пост!$C$18-Пост!$C$21)*ндс</f>
        <v>50.941155133928561</v>
      </c>
      <c r="N27" s="119">
        <f>(N9+N12-Пост!$C$6-Пост!$C$18-Пост!$C$21)*ндс</f>
        <v>50.941155133928561</v>
      </c>
      <c r="O27" s="119">
        <f>(O9+O12-Пост!$C$6-Пост!$C$18-Пост!$C$21)*ндс</f>
        <v>50.941155133928561</v>
      </c>
      <c r="P27" s="120">
        <f>SUM(D27:O27)</f>
        <v>536.72243303571406</v>
      </c>
      <c r="Q27" s="119">
        <f>(Q9+Q12-Пост!$D$6-Пост!$D$18-Пост!$D$21)*ндс</f>
        <v>52.701081194196405</v>
      </c>
      <c r="R27" s="119">
        <f>(R9+R12-Пост!$D$6-Пост!$D$18-Пост!$D$21)*ндс</f>
        <v>52.701081194196405</v>
      </c>
      <c r="S27" s="119">
        <f>(S9+S12-Пост!$D$6-Пост!$D$18-Пост!$D$21)*ндс</f>
        <v>52.701081194196405</v>
      </c>
      <c r="T27" s="119">
        <f>(T9+T12-Пост!$D$6-Пост!$D$18-Пост!$D$21)*ндс</f>
        <v>52.701081194196405</v>
      </c>
      <c r="U27" s="119">
        <f>(U9+U12-Пост!$D$6-Пост!$D$18-Пост!$D$21)*ндс</f>
        <v>52.701081194196405</v>
      </c>
      <c r="V27" s="119">
        <f>(V9+V12-Пост!$D$6-Пост!$D$18-Пост!$D$21)*ндс</f>
        <v>52.701081194196405</v>
      </c>
      <c r="W27" s="119">
        <f>(W9+W12-Пост!$D$6-Пост!$D$18-Пост!$D$21)*ндс</f>
        <v>52.701081194196405</v>
      </c>
      <c r="X27" s="119">
        <f>(X9+X12-Пост!$D$6-Пост!$D$18-Пост!$D$21)*ндс</f>
        <v>52.701081194196405</v>
      </c>
      <c r="Y27" s="119">
        <f>(Y9+Y12-Пост!$D$6-Пост!$D$18-Пост!$D$21)*ндс</f>
        <v>52.701081194196405</v>
      </c>
      <c r="Z27" s="119">
        <f>(Z9+Z12-Пост!$D$6-Пост!$D$18-Пост!$D$21)*ндс</f>
        <v>52.701081194196405</v>
      </c>
      <c r="AA27" s="119">
        <f>(AA9+AA12-Пост!$D$6-Пост!$D$18-Пост!$D$21)*ндс</f>
        <v>52.701081194196405</v>
      </c>
      <c r="AB27" s="119">
        <f>(AB9+AB12-Пост!$D$6-Пост!$D$18-Пост!$D$21)*ндс</f>
        <v>52.701081194196405</v>
      </c>
      <c r="AC27" s="120">
        <f>SUM(Q27:AB27)</f>
        <v>632.41297433035663</v>
      </c>
      <c r="AD27" s="119">
        <f>(AD9+AD12-(Пост!E6+Пост!E18+Пост!E21)*12)*ндс</f>
        <v>662.84630022321414</v>
      </c>
      <c r="AE27" s="119">
        <f>(AE9+AE12-(Пост!F6+Пост!F18+Пост!F21)*12)*ндс</f>
        <v>700.19662918526774</v>
      </c>
      <c r="AF27" s="119">
        <f>(AF9+AF12-(Пост!G6+Пост!G18+Пост!G21)*12)*ндс</f>
        <v>726.43940943080338</v>
      </c>
      <c r="AG27" s="119">
        <f>(AG9+AG12-(Пост!H6+Пост!H18+Пост!H21)*12)*ндс</f>
        <v>781.48878166573638</v>
      </c>
      <c r="AH27" s="119">
        <f>(AH9+AH12-(Пост!I6+Пост!I18+Пост!I21)*12)*ндс</f>
        <v>827.82195137109386</v>
      </c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</row>
    <row r="28" spans="1:177" s="113" customFormat="1">
      <c r="A28" s="117" t="s">
        <v>188</v>
      </c>
      <c r="B28" s="105">
        <f>P28+AC28+AD28+AE28+AF28+AG28+AH28</f>
        <v>8239.898206194197</v>
      </c>
      <c r="C28" s="119"/>
      <c r="D28" s="119">
        <f>Инв!E19/Исх!$C$18*ндс</f>
        <v>1039.4409681919644</v>
      </c>
      <c r="E28" s="119">
        <f>Инв!F19/Исх!$C$18*ндс</f>
        <v>1621.3940522879468</v>
      </c>
      <c r="F28" s="119">
        <f>Инв!G19/Исх!$C$18*ндс</f>
        <v>5579.0631857142853</v>
      </c>
      <c r="G28" s="119">
        <f>Инв!H19/Исх!$C$18*ндс</f>
        <v>0</v>
      </c>
      <c r="H28" s="119">
        <f>Инв!I19/Исх!$C$18*ндс</f>
        <v>0</v>
      </c>
      <c r="I28" s="119">
        <f>Инв!J19/Исх!$C$18*ндс</f>
        <v>0</v>
      </c>
      <c r="J28" s="119">
        <f>Инв!K19/Исх!$C$18*ндс</f>
        <v>0</v>
      </c>
      <c r="K28" s="119">
        <f>Инв!L19/Исх!$C$18*ндс</f>
        <v>0</v>
      </c>
      <c r="L28" s="119">
        <f>Инв!M19/Исх!$C$18*ндс</f>
        <v>0</v>
      </c>
      <c r="M28" s="119">
        <f>Инв!N19/Исх!$C$18*ндс</f>
        <v>0</v>
      </c>
      <c r="N28" s="119">
        <f>Инв!O19/Исх!$C$18*ндс</f>
        <v>0</v>
      </c>
      <c r="O28" s="119">
        <f>Инв!P19/Исх!$C$18*ндс</f>
        <v>0</v>
      </c>
      <c r="P28" s="120">
        <f>SUM(D28:O28)</f>
        <v>8239.898206194197</v>
      </c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20"/>
      <c r="AD28" s="120"/>
      <c r="AE28" s="120"/>
      <c r="AF28" s="120"/>
      <c r="AG28" s="120"/>
      <c r="AH28" s="120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</row>
    <row r="29" spans="1:177" s="113" customFormat="1">
      <c r="A29" s="117" t="s">
        <v>33</v>
      </c>
      <c r="B29" s="105">
        <f>P29+AC29+AD29+AE29+AF29+AG29+AH29</f>
        <v>18741.732326757374</v>
      </c>
      <c r="C29" s="119"/>
      <c r="D29" s="119">
        <f>D26-D27-D28</f>
        <v>-1039.4409681919644</v>
      </c>
      <c r="E29" s="119">
        <f t="shared" ref="E29:O29" si="18">E26-E27-E28</f>
        <v>-1621.3940522879468</v>
      </c>
      <c r="F29" s="119">
        <f t="shared" si="18"/>
        <v>-5657.315222544642</v>
      </c>
      <c r="G29" s="119">
        <f t="shared" si="18"/>
        <v>158.57884486607142</v>
      </c>
      <c r="H29" s="119">
        <f t="shared" si="18"/>
        <v>158.57884486607142</v>
      </c>
      <c r="I29" s="119">
        <f t="shared" si="18"/>
        <v>158.57884486607142</v>
      </c>
      <c r="J29" s="119">
        <f t="shared" si="18"/>
        <v>158.57884486607142</v>
      </c>
      <c r="K29" s="119">
        <f t="shared" si="18"/>
        <v>158.57884486607142</v>
      </c>
      <c r="L29" s="119">
        <f t="shared" si="18"/>
        <v>158.57884486607142</v>
      </c>
      <c r="M29" s="119">
        <f t="shared" si="18"/>
        <v>158.57884486607142</v>
      </c>
      <c r="N29" s="119">
        <f t="shared" si="18"/>
        <v>158.57884486607142</v>
      </c>
      <c r="O29" s="119">
        <f t="shared" si="18"/>
        <v>158.57884486607142</v>
      </c>
      <c r="P29" s="120">
        <f>SUM(D29:O29)</f>
        <v>-6890.9406392299097</v>
      </c>
      <c r="Q29" s="119">
        <f t="shared" ref="Q29:AB29" si="19">Q26-Q27-Q28</f>
        <v>275.37583130580356</v>
      </c>
      <c r="R29" s="119">
        <f t="shared" si="19"/>
        <v>275.37583130580356</v>
      </c>
      <c r="S29" s="119">
        <f t="shared" si="19"/>
        <v>275.37583130580356</v>
      </c>
      <c r="T29" s="119">
        <f t="shared" si="19"/>
        <v>275.37583130580356</v>
      </c>
      <c r="U29" s="119">
        <f t="shared" si="19"/>
        <v>275.37583130580356</v>
      </c>
      <c r="V29" s="119">
        <f t="shared" si="19"/>
        <v>275.37583130580356</v>
      </c>
      <c r="W29" s="119">
        <f t="shared" si="19"/>
        <v>275.37583130580356</v>
      </c>
      <c r="X29" s="119">
        <f t="shared" si="19"/>
        <v>275.37583130580356</v>
      </c>
      <c r="Y29" s="119">
        <f t="shared" si="19"/>
        <v>275.37583130580356</v>
      </c>
      <c r="Z29" s="119">
        <f t="shared" si="19"/>
        <v>275.37583130580356</v>
      </c>
      <c r="AA29" s="119">
        <f t="shared" si="19"/>
        <v>275.37583130580356</v>
      </c>
      <c r="AB29" s="119">
        <f t="shared" si="19"/>
        <v>275.37583130580356</v>
      </c>
      <c r="AC29" s="120">
        <f>SUM(Q29:AB29)</f>
        <v>3304.5099756696418</v>
      </c>
      <c r="AD29" s="119">
        <f>AD26-AD27-AD28</f>
        <v>3662.754677276786</v>
      </c>
      <c r="AE29" s="119">
        <f>AE26-AE27-AE28</f>
        <v>4286.5110258147324</v>
      </c>
      <c r="AF29" s="119">
        <f>AF26-AF27-AF28</f>
        <v>3991.1541429441977</v>
      </c>
      <c r="AG29" s="119">
        <f>AG26-AG27-AG28</f>
        <v>5130.7201779592651</v>
      </c>
      <c r="AH29" s="119">
        <f>AH26-AH27-AH28</f>
        <v>5257.0229663226582</v>
      </c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</row>
    <row r="30" spans="1:177" s="113" customFormat="1">
      <c r="A30" s="117" t="s">
        <v>189</v>
      </c>
      <c r="B30" s="105">
        <f>AH30</f>
        <v>18741.732326757367</v>
      </c>
      <c r="C30" s="119"/>
      <c r="D30" s="119">
        <f>D29</f>
        <v>-1039.4409681919644</v>
      </c>
      <c r="E30" s="119">
        <f>D30+E29</f>
        <v>-2660.8350204799112</v>
      </c>
      <c r="F30" s="119">
        <f t="shared" ref="F30:O30" si="20">E30+F29</f>
        <v>-8318.1502430245528</v>
      </c>
      <c r="G30" s="119">
        <f t="shared" si="20"/>
        <v>-8159.5713981584813</v>
      </c>
      <c r="H30" s="119">
        <f t="shared" si="20"/>
        <v>-8000.9925532924099</v>
      </c>
      <c r="I30" s="119">
        <f t="shared" si="20"/>
        <v>-7842.4137084263384</v>
      </c>
      <c r="J30" s="119">
        <f t="shared" si="20"/>
        <v>-7683.834863560267</v>
      </c>
      <c r="K30" s="119">
        <f t="shared" si="20"/>
        <v>-7525.2560186941955</v>
      </c>
      <c r="L30" s="119">
        <f t="shared" si="20"/>
        <v>-7366.6771738281241</v>
      </c>
      <c r="M30" s="119">
        <f t="shared" si="20"/>
        <v>-7208.0983289620526</v>
      </c>
      <c r="N30" s="119">
        <f t="shared" si="20"/>
        <v>-7049.5194840959812</v>
      </c>
      <c r="O30" s="119">
        <f t="shared" si="20"/>
        <v>-6890.9406392299097</v>
      </c>
      <c r="P30" s="120">
        <f>O30</f>
        <v>-6890.9406392299097</v>
      </c>
      <c r="Q30" s="119">
        <f t="shared" ref="Q30:AB30" si="21">P30+Q29</f>
        <v>-6615.5648079241064</v>
      </c>
      <c r="R30" s="119">
        <f t="shared" si="21"/>
        <v>-6340.1889766183031</v>
      </c>
      <c r="S30" s="119">
        <f t="shared" si="21"/>
        <v>-6064.8131453124997</v>
      </c>
      <c r="T30" s="119">
        <f t="shared" si="21"/>
        <v>-5789.4373140066964</v>
      </c>
      <c r="U30" s="119">
        <f t="shared" si="21"/>
        <v>-5514.0614827008931</v>
      </c>
      <c r="V30" s="119">
        <f t="shared" si="21"/>
        <v>-5238.6856513950897</v>
      </c>
      <c r="W30" s="119">
        <f t="shared" si="21"/>
        <v>-4963.3098200892864</v>
      </c>
      <c r="X30" s="119">
        <f t="shared" si="21"/>
        <v>-4687.9339887834831</v>
      </c>
      <c r="Y30" s="119">
        <f t="shared" si="21"/>
        <v>-4412.5581574776797</v>
      </c>
      <c r="Z30" s="119">
        <f t="shared" si="21"/>
        <v>-4137.1823261718764</v>
      </c>
      <c r="AA30" s="119">
        <f t="shared" si="21"/>
        <v>-3861.8064948660731</v>
      </c>
      <c r="AB30" s="119">
        <f t="shared" si="21"/>
        <v>-3586.4306635602697</v>
      </c>
      <c r="AC30" s="120">
        <f>AB30</f>
        <v>-3586.4306635602697</v>
      </c>
      <c r="AD30" s="119">
        <f>AC30+AD29</f>
        <v>76.32401371651622</v>
      </c>
      <c r="AE30" s="119">
        <f>AD30+AE29</f>
        <v>4362.8350395312482</v>
      </c>
      <c r="AF30" s="119">
        <f>AE30+AF29</f>
        <v>8353.989182475445</v>
      </c>
      <c r="AG30" s="119">
        <f>AF30+AG29</f>
        <v>13484.70936043471</v>
      </c>
      <c r="AH30" s="119">
        <f>AG30+AH29</f>
        <v>18741.732326757367</v>
      </c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</row>
    <row r="31" spans="1:177" s="113" customFormat="1">
      <c r="A31" s="117" t="s">
        <v>190</v>
      </c>
      <c r="B31" s="105">
        <f>P31+AC31+AD31+AE31+AF31+AG31+AH31</f>
        <v>5622.5196980272103</v>
      </c>
      <c r="C31" s="119"/>
      <c r="D31" s="119">
        <f>IF(C30+D29&gt;=0,IF(C30&lt;0,C30+D29,D29),0)</f>
        <v>0</v>
      </c>
      <c r="E31" s="119">
        <f t="shared" ref="E31:AB31" si="22">IF(D30+E29&gt;=0,IF(D30&lt;0,D30+E29,E29),0)</f>
        <v>0</v>
      </c>
      <c r="F31" s="119">
        <f t="shared" si="22"/>
        <v>0</v>
      </c>
      <c r="G31" s="119">
        <f t="shared" si="22"/>
        <v>0</v>
      </c>
      <c r="H31" s="119">
        <f t="shared" si="22"/>
        <v>0</v>
      </c>
      <c r="I31" s="119">
        <f t="shared" si="22"/>
        <v>0</v>
      </c>
      <c r="J31" s="119">
        <f t="shared" si="22"/>
        <v>0</v>
      </c>
      <c r="K31" s="119">
        <f t="shared" si="22"/>
        <v>0</v>
      </c>
      <c r="L31" s="119">
        <f t="shared" si="22"/>
        <v>0</v>
      </c>
      <c r="M31" s="119">
        <f t="shared" si="22"/>
        <v>0</v>
      </c>
      <c r="N31" s="119">
        <f t="shared" si="22"/>
        <v>0</v>
      </c>
      <c r="O31" s="119">
        <f t="shared" si="22"/>
        <v>0</v>
      </c>
      <c r="P31" s="120">
        <f>SUM(D31:O31)</f>
        <v>0</v>
      </c>
      <c r="Q31" s="119">
        <f t="shared" si="22"/>
        <v>0</v>
      </c>
      <c r="R31" s="119">
        <f t="shared" si="22"/>
        <v>0</v>
      </c>
      <c r="S31" s="119">
        <f t="shared" si="22"/>
        <v>0</v>
      </c>
      <c r="T31" s="119">
        <f t="shared" si="22"/>
        <v>0</v>
      </c>
      <c r="U31" s="119">
        <f t="shared" si="22"/>
        <v>0</v>
      </c>
      <c r="V31" s="119">
        <f t="shared" si="22"/>
        <v>0</v>
      </c>
      <c r="W31" s="119">
        <f t="shared" si="22"/>
        <v>0</v>
      </c>
      <c r="X31" s="119">
        <f t="shared" si="22"/>
        <v>0</v>
      </c>
      <c r="Y31" s="119">
        <f t="shared" si="22"/>
        <v>0</v>
      </c>
      <c r="Z31" s="119">
        <f t="shared" si="22"/>
        <v>0</v>
      </c>
      <c r="AA31" s="119">
        <f t="shared" si="22"/>
        <v>0</v>
      </c>
      <c r="AB31" s="119">
        <f t="shared" si="22"/>
        <v>0</v>
      </c>
      <c r="AC31" s="120">
        <f>SUM(Q31:AB31)</f>
        <v>0</v>
      </c>
      <c r="AD31" s="119">
        <f>IF(AC30+AD29&gt;=0,IF(AC30&lt;0,(AC30+AD29)*0.3,AD29*0.3),0)</f>
        <v>22.897204114954864</v>
      </c>
      <c r="AE31" s="119">
        <f>IF(AD30+AE29&gt;=0,IF(AD30&lt;0,(AD30+AE29)*0.3,AE29*0.3),0)</f>
        <v>1285.9533077444196</v>
      </c>
      <c r="AF31" s="119">
        <f t="shared" ref="AF31:AH31" si="23">IF(AE30+AF29&gt;=0,IF(AE30&lt;0,(AE30+AF29)*0.3,AF29*0.3),0)</f>
        <v>1197.3462428832593</v>
      </c>
      <c r="AG31" s="119">
        <f t="shared" si="23"/>
        <v>1539.2160533877795</v>
      </c>
      <c r="AH31" s="119">
        <f t="shared" si="23"/>
        <v>1577.1068898967974</v>
      </c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</row>
    <row r="33" spans="2:34" hidden="1">
      <c r="B33" s="121"/>
      <c r="AD33" s="352">
        <f>AD30-AD31</f>
        <v>53.426809601561359</v>
      </c>
      <c r="AE33" s="352">
        <f>AE29-AE31</f>
        <v>3000.5577180703131</v>
      </c>
      <c r="AF33" s="352">
        <f t="shared" ref="AF33:AH33" si="24">AF29-AF31</f>
        <v>2793.8079000609387</v>
      </c>
      <c r="AG33" s="352">
        <f t="shared" si="24"/>
        <v>3591.5041245714856</v>
      </c>
      <c r="AH33" s="352">
        <f t="shared" si="24"/>
        <v>3679.9160764258609</v>
      </c>
    </row>
    <row r="34" spans="2:34" hidden="1">
      <c r="AD34" s="352">
        <f>AC34+AD33</f>
        <v>53.426809601561359</v>
      </c>
      <c r="AE34" s="352">
        <f t="shared" ref="AE34:AH34" si="25">AD34+AE33</f>
        <v>3053.9845276718743</v>
      </c>
      <c r="AF34" s="352">
        <f t="shared" si="25"/>
        <v>5847.7924277328129</v>
      </c>
      <c r="AG34" s="352">
        <f t="shared" si="25"/>
        <v>9439.2965523042985</v>
      </c>
      <c r="AH34" s="352">
        <f t="shared" si="25"/>
        <v>13119.21262873016</v>
      </c>
    </row>
  </sheetData>
  <mergeCells count="8">
    <mergeCell ref="Q23:AC23"/>
    <mergeCell ref="Q3:AC3"/>
    <mergeCell ref="A3:A4"/>
    <mergeCell ref="A23:A24"/>
    <mergeCell ref="B3:B4"/>
    <mergeCell ref="D23:P23"/>
    <mergeCell ref="B23:B24"/>
    <mergeCell ref="D3:P3"/>
  </mergeCells>
  <phoneticPr fontId="2" type="noConversion"/>
  <pageMargins left="0.35433070866141736" right="0.23622047244094491" top="0.74803149606299213" bottom="0.23622047244094491" header="0.47244094488188981" footer="0.15748031496062992"/>
  <pageSetup paperSize="9" orientation="landscape" r:id="rId1"/>
  <headerFooter alignWithMargins="0">
    <oddHeader>&amp;RПриложение 2</oddHeader>
  </headerFooter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GA40"/>
  <sheetViews>
    <sheetView showGridLines="0" showZeros="0" zoomScaleNormal="100" workbookViewId="0">
      <pane xSplit="3" ySplit="4" topLeftCell="D5" activePane="bottomRight" state="frozen"/>
      <selection activeCell="G35" sqref="G35"/>
      <selection pane="topRight" activeCell="G35" sqref="G35"/>
      <selection pane="bottomLeft" activeCell="G35" sqref="G35"/>
      <selection pane="bottomRight" activeCell="AJ21" sqref="AJ21"/>
    </sheetView>
  </sheetViews>
  <sheetFormatPr defaultColWidth="10.140625" defaultRowHeight="12.75" outlineLevelCol="1"/>
  <cols>
    <col min="1" max="1" width="38.140625" style="123" customWidth="1"/>
    <col min="2" max="2" width="2.42578125" style="123" customWidth="1"/>
    <col min="3" max="3" width="7.140625" style="123" customWidth="1"/>
    <col min="4" max="4" width="11.42578125" style="123" hidden="1" customWidth="1" outlineLevel="1"/>
    <col min="5" max="11" width="7.42578125" style="123" hidden="1" customWidth="1" outlineLevel="1"/>
    <col min="12" max="12" width="8" style="123" hidden="1" customWidth="1" outlineLevel="1"/>
    <col min="13" max="13" width="7.85546875" style="123" hidden="1" customWidth="1" outlineLevel="1"/>
    <col min="14" max="15" width="8.140625" style="123" hidden="1" customWidth="1" outlineLevel="1"/>
    <col min="16" max="16" width="9.85546875" style="123" customWidth="1" collapsed="1"/>
    <col min="17" max="23" width="8.42578125" style="123" hidden="1" customWidth="1" outlineLevel="1"/>
    <col min="24" max="25" width="8.7109375" style="123" hidden="1" customWidth="1" outlineLevel="1"/>
    <col min="26" max="26" width="8.5703125" style="123" hidden="1" customWidth="1" outlineLevel="1"/>
    <col min="27" max="27" width="9" style="123" hidden="1" customWidth="1" outlineLevel="1"/>
    <col min="28" max="28" width="9.140625" style="123" hidden="1" customWidth="1" outlineLevel="1"/>
    <col min="29" max="29" width="10.140625" style="123" customWidth="1" collapsed="1"/>
    <col min="30" max="30" width="9.85546875" style="123" customWidth="1"/>
    <col min="31" max="31" width="9.7109375" style="123" customWidth="1"/>
    <col min="32" max="32" width="9.5703125" style="123" customWidth="1"/>
    <col min="33" max="34" width="9.7109375" style="123" customWidth="1"/>
    <col min="35" max="16384" width="10.140625" style="123"/>
  </cols>
  <sheetData>
    <row r="1" spans="1:183">
      <c r="A1" s="62" t="s">
        <v>134</v>
      </c>
      <c r="B1" s="122"/>
      <c r="C1" s="122"/>
    </row>
    <row r="2" spans="1:183" ht="17.25" customHeight="1">
      <c r="A2" s="62"/>
      <c r="C2" s="12" t="str">
        <f>Исх!$C$9</f>
        <v>тыс.тг.</v>
      </c>
      <c r="P2" s="124"/>
      <c r="AC2" s="124"/>
      <c r="AD2" s="124"/>
      <c r="AE2" s="124"/>
      <c r="AF2" s="124"/>
      <c r="AG2" s="124"/>
      <c r="AH2" s="124"/>
    </row>
    <row r="3" spans="1:183" ht="12.75" customHeight="1">
      <c r="A3" s="367" t="s">
        <v>3</v>
      </c>
      <c r="B3" s="369"/>
      <c r="C3" s="126"/>
      <c r="D3" s="370">
        <v>2012</v>
      </c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>
        <v>2013</v>
      </c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127">
        <f>Q3+1</f>
        <v>2014</v>
      </c>
      <c r="AE3" s="127">
        <f>AD3+1</f>
        <v>2015</v>
      </c>
      <c r="AF3" s="127">
        <f>AE3+1</f>
        <v>2016</v>
      </c>
      <c r="AG3" s="127">
        <f>AF3+1</f>
        <v>2017</v>
      </c>
      <c r="AH3" s="127">
        <f>AG3+1</f>
        <v>2018</v>
      </c>
    </row>
    <row r="4" spans="1:183">
      <c r="A4" s="368"/>
      <c r="B4" s="369"/>
      <c r="C4" s="128"/>
      <c r="D4" s="129">
        <v>1</v>
      </c>
      <c r="E4" s="129">
        <f>D4+1</f>
        <v>2</v>
      </c>
      <c r="F4" s="129">
        <f t="shared" ref="F4:O4" si="0">E4+1</f>
        <v>3</v>
      </c>
      <c r="G4" s="129">
        <f t="shared" si="0"/>
        <v>4</v>
      </c>
      <c r="H4" s="129">
        <f t="shared" si="0"/>
        <v>5</v>
      </c>
      <c r="I4" s="129">
        <f t="shared" si="0"/>
        <v>6</v>
      </c>
      <c r="J4" s="129">
        <f t="shared" si="0"/>
        <v>7</v>
      </c>
      <c r="K4" s="129">
        <f t="shared" si="0"/>
        <v>8</v>
      </c>
      <c r="L4" s="129">
        <f t="shared" si="0"/>
        <v>9</v>
      </c>
      <c r="M4" s="129">
        <f t="shared" si="0"/>
        <v>10</v>
      </c>
      <c r="N4" s="129">
        <f t="shared" si="0"/>
        <v>11</v>
      </c>
      <c r="O4" s="129">
        <f t="shared" si="0"/>
        <v>12</v>
      </c>
      <c r="P4" s="125" t="s">
        <v>0</v>
      </c>
      <c r="Q4" s="129">
        <v>1</v>
      </c>
      <c r="R4" s="129">
        <f t="shared" ref="R4:AB4" si="1">Q4+1</f>
        <v>2</v>
      </c>
      <c r="S4" s="129">
        <f t="shared" si="1"/>
        <v>3</v>
      </c>
      <c r="T4" s="129">
        <f t="shared" si="1"/>
        <v>4</v>
      </c>
      <c r="U4" s="129">
        <f t="shared" si="1"/>
        <v>5</v>
      </c>
      <c r="V4" s="129">
        <f t="shared" si="1"/>
        <v>6</v>
      </c>
      <c r="W4" s="129">
        <f t="shared" si="1"/>
        <v>7</v>
      </c>
      <c r="X4" s="129">
        <f t="shared" si="1"/>
        <v>8</v>
      </c>
      <c r="Y4" s="129">
        <f t="shared" si="1"/>
        <v>9</v>
      </c>
      <c r="Z4" s="129">
        <f t="shared" si="1"/>
        <v>10</v>
      </c>
      <c r="AA4" s="129">
        <f t="shared" si="1"/>
        <v>11</v>
      </c>
      <c r="AB4" s="129">
        <f t="shared" si="1"/>
        <v>12</v>
      </c>
      <c r="AC4" s="125" t="s">
        <v>0</v>
      </c>
      <c r="AD4" s="125"/>
      <c r="AE4" s="125"/>
      <c r="AF4" s="125"/>
      <c r="AG4" s="125"/>
      <c r="AH4" s="125"/>
    </row>
    <row r="5" spans="1:183" s="134" customFormat="1" ht="15" customHeight="1">
      <c r="A5" s="130" t="s">
        <v>135</v>
      </c>
      <c r="B5" s="131"/>
      <c r="C5" s="132">
        <f>C11+C6</f>
        <v>0</v>
      </c>
      <c r="D5" s="132">
        <f>D11+D6</f>
        <v>9701.4490364583344</v>
      </c>
      <c r="E5" s="132">
        <f t="shared" ref="E5:AH5" si="2">E11+E6</f>
        <v>24834.460191145838</v>
      </c>
      <c r="F5" s="132">
        <f t="shared" si="2"/>
        <v>77636.06893489584</v>
      </c>
      <c r="G5" s="132">
        <f t="shared" si="2"/>
        <v>77298.834581723524</v>
      </c>
      <c r="H5" s="132">
        <f t="shared" si="2"/>
        <v>76961.600228551208</v>
      </c>
      <c r="I5" s="132">
        <f t="shared" si="2"/>
        <v>79624.365875378877</v>
      </c>
      <c r="J5" s="132">
        <f t="shared" si="2"/>
        <v>79287.13152220656</v>
      </c>
      <c r="K5" s="132">
        <f t="shared" si="2"/>
        <v>78949.897169034259</v>
      </c>
      <c r="L5" s="132">
        <f t="shared" si="2"/>
        <v>78612.662815861942</v>
      </c>
      <c r="M5" s="132">
        <f t="shared" si="2"/>
        <v>77230.895652080653</v>
      </c>
      <c r="N5" s="132">
        <f t="shared" si="2"/>
        <v>75853.36717216851</v>
      </c>
      <c r="O5" s="132">
        <f t="shared" si="2"/>
        <v>74480.077376125497</v>
      </c>
      <c r="P5" s="132">
        <f t="shared" si="2"/>
        <v>74480.077376125497</v>
      </c>
      <c r="Q5" s="132">
        <f t="shared" si="2"/>
        <v>74031.457948796829</v>
      </c>
      <c r="R5" s="132">
        <f t="shared" si="2"/>
        <v>73587.077205337293</v>
      </c>
      <c r="S5" s="132">
        <f t="shared" si="2"/>
        <v>73146.935145746902</v>
      </c>
      <c r="T5" s="132">
        <f t="shared" si="2"/>
        <v>72711.031770025642</v>
      </c>
      <c r="U5" s="132">
        <f t="shared" si="2"/>
        <v>72279.367078173542</v>
      </c>
      <c r="V5" s="132">
        <f t="shared" si="2"/>
        <v>71851.941070190558</v>
      </c>
      <c r="W5" s="132">
        <f t="shared" si="2"/>
        <v>71428.75374607672</v>
      </c>
      <c r="X5" s="132">
        <f t="shared" si="2"/>
        <v>71009.805105832012</v>
      </c>
      <c r="Y5" s="132">
        <f t="shared" si="2"/>
        <v>70595.095149456451</v>
      </c>
      <c r="Z5" s="132">
        <f t="shared" si="2"/>
        <v>70184.623876950034</v>
      </c>
      <c r="AA5" s="132">
        <f t="shared" si="2"/>
        <v>69778.391288312749</v>
      </c>
      <c r="AB5" s="132">
        <f t="shared" si="2"/>
        <v>69376.397383544594</v>
      </c>
      <c r="AC5" s="132">
        <f t="shared" si="2"/>
        <v>69376.397383544594</v>
      </c>
      <c r="AD5" s="132">
        <f t="shared" si="2"/>
        <v>66879.018621509284</v>
      </c>
      <c r="AE5" s="132">
        <f t="shared" si="2"/>
        <v>71757.341377272678</v>
      </c>
      <c r="AF5" s="132">
        <f t="shared" si="2"/>
        <v>74100.154820097421</v>
      </c>
      <c r="AG5" s="132">
        <f t="shared" si="2"/>
        <v>85449.655967051396</v>
      </c>
      <c r="AH5" s="132">
        <f t="shared" si="2"/>
        <v>97368.867724924887</v>
      </c>
      <c r="AI5" s="133"/>
      <c r="AJ5" s="133"/>
      <c r="AK5" s="133"/>
      <c r="AL5" s="133"/>
      <c r="AM5" s="133"/>
      <c r="AN5" s="133"/>
      <c r="AO5" s="133"/>
    </row>
    <row r="6" spans="1:183" s="134" customFormat="1" ht="15" customHeight="1">
      <c r="A6" s="130" t="s">
        <v>136</v>
      </c>
      <c r="B6" s="131"/>
      <c r="C6" s="132">
        <f>SUM(C7:C10)</f>
        <v>0</v>
      </c>
      <c r="D6" s="132">
        <f>SUM(D7:D10)</f>
        <v>0</v>
      </c>
      <c r="E6" s="132">
        <f t="shared" ref="E6:AH6" si="3">SUM(E7:E10)</f>
        <v>0</v>
      </c>
      <c r="F6" s="132">
        <f t="shared" si="3"/>
        <v>652.10030691964278</v>
      </c>
      <c r="G6" s="132">
        <f t="shared" si="3"/>
        <v>682.36522491974335</v>
      </c>
      <c r="H6" s="132">
        <f t="shared" si="3"/>
        <v>712.63014291984393</v>
      </c>
      <c r="I6" s="132">
        <f t="shared" si="3"/>
        <v>3742.8950609199442</v>
      </c>
      <c r="J6" s="132">
        <f t="shared" si="3"/>
        <v>3773.159978920045</v>
      </c>
      <c r="K6" s="132">
        <f t="shared" si="3"/>
        <v>3803.4248969201458</v>
      </c>
      <c r="L6" s="132">
        <f t="shared" si="3"/>
        <v>3833.6898149202466</v>
      </c>
      <c r="M6" s="132">
        <f t="shared" si="3"/>
        <v>2819.4219223113737</v>
      </c>
      <c r="N6" s="132">
        <f t="shared" si="3"/>
        <v>1809.3927135716394</v>
      </c>
      <c r="O6" s="132">
        <f t="shared" si="3"/>
        <v>803.60218870104256</v>
      </c>
      <c r="P6" s="132">
        <f t="shared" si="3"/>
        <v>803.60218870104256</v>
      </c>
      <c r="Q6" s="132">
        <f t="shared" si="3"/>
        <v>839.2790189845233</v>
      </c>
      <c r="R6" s="132">
        <f t="shared" si="3"/>
        <v>879.19453313714178</v>
      </c>
      <c r="S6" s="132">
        <f t="shared" si="3"/>
        <v>923.34873115889843</v>
      </c>
      <c r="T6" s="132">
        <f t="shared" si="3"/>
        <v>971.74161304979282</v>
      </c>
      <c r="U6" s="132">
        <f t="shared" si="3"/>
        <v>1024.3731788098248</v>
      </c>
      <c r="V6" s="132">
        <f t="shared" si="3"/>
        <v>1081.2434284389947</v>
      </c>
      <c r="W6" s="132">
        <f t="shared" si="3"/>
        <v>1142.3523619373027</v>
      </c>
      <c r="X6" s="132">
        <f t="shared" si="3"/>
        <v>1207.6999793047485</v>
      </c>
      <c r="Y6" s="132">
        <f t="shared" si="3"/>
        <v>1277.286280541332</v>
      </c>
      <c r="Z6" s="132">
        <f t="shared" si="3"/>
        <v>1351.1112656470532</v>
      </c>
      <c r="AA6" s="132">
        <f t="shared" si="3"/>
        <v>1429.1749346219126</v>
      </c>
      <c r="AB6" s="132">
        <f t="shared" si="3"/>
        <v>1511.4772874659097</v>
      </c>
      <c r="AC6" s="132">
        <f t="shared" si="3"/>
        <v>1511.4772874659097</v>
      </c>
      <c r="AD6" s="132">
        <f t="shared" si="3"/>
        <v>5107.5743046670177</v>
      </c>
      <c r="AE6" s="132">
        <f t="shared" si="3"/>
        <v>12492.942176106577</v>
      </c>
      <c r="AF6" s="132">
        <f t="shared" si="3"/>
        <v>17342.800734607477</v>
      </c>
      <c r="AG6" s="132">
        <f t="shared" si="3"/>
        <v>31199.346997237612</v>
      </c>
      <c r="AH6" s="132">
        <f t="shared" si="3"/>
        <v>45625.60387078725</v>
      </c>
    </row>
    <row r="7" spans="1:183" ht="15" customHeight="1">
      <c r="A7" s="135" t="s">
        <v>137</v>
      </c>
      <c r="B7" s="131"/>
      <c r="C7" s="136"/>
      <c r="D7" s="136">
        <f>'1-Ф3'!D36</f>
        <v>0</v>
      </c>
      <c r="E7" s="136">
        <f>'1-Ф3'!E36</f>
        <v>0</v>
      </c>
      <c r="F7" s="136">
        <f>'1-Ф3'!F36</f>
        <v>0</v>
      </c>
      <c r="G7" s="136">
        <f>'1-Ф3'!G36</f>
        <v>30.264918000100579</v>
      </c>
      <c r="H7" s="136">
        <f>'1-Ф3'!H36</f>
        <v>60.529836000201158</v>
      </c>
      <c r="I7" s="136">
        <f>'1-Ф3'!I36</f>
        <v>3090.7947540003015</v>
      </c>
      <c r="J7" s="136">
        <f>'1-Ф3'!J36</f>
        <v>3121.0596720004023</v>
      </c>
      <c r="K7" s="136">
        <f>'1-Ф3'!K36</f>
        <v>3151.3245900005031</v>
      </c>
      <c r="L7" s="136">
        <f>'1-Ф3'!L36</f>
        <v>3181.5895080006039</v>
      </c>
      <c r="M7" s="136">
        <f>'1-Ф3'!M36</f>
        <v>2167.321615391731</v>
      </c>
      <c r="N7" s="136">
        <f>'1-Ф3'!N36</f>
        <v>1157.2924066519965</v>
      </c>
      <c r="O7" s="136">
        <f>'1-Ф3'!O36</f>
        <v>151.50188178139979</v>
      </c>
      <c r="P7" s="136">
        <f>'1-Ф3'!P36</f>
        <v>151.50188178139979</v>
      </c>
      <c r="Q7" s="136">
        <f>'1-Ф3'!Q36</f>
        <v>187.17871206488053</v>
      </c>
      <c r="R7" s="136">
        <f>'1-Ф3'!R36</f>
        <v>227.094226217499</v>
      </c>
      <c r="S7" s="136">
        <f>'1-Ф3'!S36</f>
        <v>271.24842423925566</v>
      </c>
      <c r="T7" s="136">
        <f>'1-Ф3'!T36</f>
        <v>319.64130613015004</v>
      </c>
      <c r="U7" s="136">
        <f>'1-Ф3'!U36</f>
        <v>372.27287189018216</v>
      </c>
      <c r="V7" s="136">
        <f>'1-Ф3'!V36</f>
        <v>429.14312151935201</v>
      </c>
      <c r="W7" s="136">
        <f>'1-Ф3'!W36</f>
        <v>490.25205501766004</v>
      </c>
      <c r="X7" s="136">
        <f>'1-Ф3'!X36</f>
        <v>555.59967238510581</v>
      </c>
      <c r="Y7" s="136">
        <f>'1-Ф3'!Y36</f>
        <v>625.1859736216893</v>
      </c>
      <c r="Z7" s="136">
        <f>'1-Ф3'!Z36</f>
        <v>699.01095872741053</v>
      </c>
      <c r="AA7" s="136">
        <f>'1-Ф3'!AA36</f>
        <v>777.07462770226994</v>
      </c>
      <c r="AB7" s="136">
        <f>'1-Ф3'!AB36</f>
        <v>859.37698054626708</v>
      </c>
      <c r="AC7" s="136">
        <f>'1-Ф3'!AC36</f>
        <v>859.37698054626708</v>
      </c>
      <c r="AD7" s="136">
        <f>'1-Ф3'!AD36</f>
        <v>4455.4739977473746</v>
      </c>
      <c r="AE7" s="136">
        <f>'1-Ф3'!AE36</f>
        <v>11840.841869186934</v>
      </c>
      <c r="AF7" s="136">
        <f>'1-Ф3'!AF36</f>
        <v>16690.700427687836</v>
      </c>
      <c r="AG7" s="136">
        <f>'1-Ф3'!AG36</f>
        <v>30547.24669031797</v>
      </c>
      <c r="AH7" s="136">
        <f>'1-Ф3'!AH36</f>
        <v>44973.503563867605</v>
      </c>
    </row>
    <row r="8" spans="1:183" ht="15" customHeight="1">
      <c r="A8" s="135" t="s">
        <v>138</v>
      </c>
      <c r="B8" s="131"/>
      <c r="C8" s="136"/>
      <c r="D8" s="136">
        <f>C8+'2-ф2'!D5-'1-Ф3'!D9/Исх!$C$18</f>
        <v>0</v>
      </c>
      <c r="E8" s="136">
        <f>D8+'2-ф2'!E5-'1-Ф3'!E9/Исх!$C$18</f>
        <v>0</v>
      </c>
      <c r="F8" s="136">
        <f>E8+'2-ф2'!F5-'1-Ф3'!F9/Исх!$C$18</f>
        <v>0</v>
      </c>
      <c r="G8" s="136">
        <f>F8+'2-ф2'!G5-'1-Ф3'!G9/Исх!$C$18</f>
        <v>0</v>
      </c>
      <c r="H8" s="136">
        <f>G8+'2-ф2'!H5-'1-Ф3'!H9/Исх!$C$18</f>
        <v>0</v>
      </c>
      <c r="I8" s="136">
        <f>H8+'2-ф2'!I5-'1-Ф3'!I9/Исх!$C$18</f>
        <v>0</v>
      </c>
      <c r="J8" s="136">
        <f>I8+'2-ф2'!J5-'1-Ф3'!J9/Исх!$C$18</f>
        <v>0</v>
      </c>
      <c r="K8" s="136">
        <f>J8+'2-ф2'!K5-'1-Ф3'!K9/Исх!$C$18</f>
        <v>0</v>
      </c>
      <c r="L8" s="136">
        <f>K8+'2-ф2'!L5-'1-Ф3'!L9/Исх!$C$18</f>
        <v>0</v>
      </c>
      <c r="M8" s="136">
        <f>L8+'2-ф2'!M5-'1-Ф3'!M9/Исх!$C$18</f>
        <v>0</v>
      </c>
      <c r="N8" s="136">
        <f>M8+'2-ф2'!N5-'1-Ф3'!N9/Исх!$C$18</f>
        <v>0</v>
      </c>
      <c r="O8" s="136">
        <f>N8+'2-ф2'!O5-'1-Ф3'!O9/Исх!$C$18</f>
        <v>0</v>
      </c>
      <c r="P8" s="136">
        <f>O8</f>
        <v>0</v>
      </c>
      <c r="Q8" s="136">
        <f>P8+'2-ф2'!Q5-'1-Ф3'!Q9/Исх!$C$18</f>
        <v>0</v>
      </c>
      <c r="R8" s="136">
        <f>Q8+'2-ф2'!R5-'1-Ф3'!R9/Исх!$C$18</f>
        <v>0</v>
      </c>
      <c r="S8" s="136">
        <f>R8+'2-ф2'!S5-'1-Ф3'!S9/Исх!$C$18</f>
        <v>0</v>
      </c>
      <c r="T8" s="136">
        <f>S8+'2-ф2'!T5-'1-Ф3'!T9/Исх!$C$18</f>
        <v>0</v>
      </c>
      <c r="U8" s="136">
        <f>T8+'2-ф2'!U5-'1-Ф3'!U9/Исх!$C$18</f>
        <v>0</v>
      </c>
      <c r="V8" s="136">
        <f>U8+'2-ф2'!V5-'1-Ф3'!V9/Исх!$C$18</f>
        <v>0</v>
      </c>
      <c r="W8" s="136">
        <f>V8+'2-ф2'!W5-'1-Ф3'!W9/Исх!$C$18</f>
        <v>0</v>
      </c>
      <c r="X8" s="136">
        <f>W8+'2-ф2'!X5-'1-Ф3'!X9/Исх!$C$18</f>
        <v>0</v>
      </c>
      <c r="Y8" s="136">
        <f>X8+'2-ф2'!Y5-'1-Ф3'!Y9/Исх!$C$18</f>
        <v>0</v>
      </c>
      <c r="Z8" s="136">
        <f>Y8+'2-ф2'!Z5-'1-Ф3'!Z9/Исх!$C$18</f>
        <v>0</v>
      </c>
      <c r="AA8" s="136">
        <f>Z8+'2-ф2'!AA5-'1-Ф3'!AA9/Исх!$C$18</f>
        <v>0</v>
      </c>
      <c r="AB8" s="136">
        <f>AA8+'2-ф2'!AB5-'1-Ф3'!AB9/Исх!$C$18</f>
        <v>0</v>
      </c>
      <c r="AC8" s="136">
        <f>AB8</f>
        <v>0</v>
      </c>
      <c r="AD8" s="136">
        <f>AC8+'2-ф2'!AD5-'1-Ф3'!AD9/Исх!$C$18</f>
        <v>0</v>
      </c>
      <c r="AE8" s="136">
        <f>AD8+'2-ф2'!AE5-'1-Ф3'!AE9/Исх!$C$18</f>
        <v>0</v>
      </c>
      <c r="AF8" s="136">
        <f>AE8+'2-ф2'!AF5-'1-Ф3'!AF9/Исх!$C$18</f>
        <v>0</v>
      </c>
      <c r="AG8" s="136">
        <f>AF8+'2-ф2'!AG5-'1-Ф3'!AG9/Исх!$C$18</f>
        <v>0</v>
      </c>
      <c r="AH8" s="136">
        <f>AG8+'2-ф2'!AH5-'1-Ф3'!AH9/Исх!$C$18</f>
        <v>0</v>
      </c>
    </row>
    <row r="9" spans="1:183" ht="15" customHeight="1">
      <c r="A9" s="135" t="s">
        <v>139</v>
      </c>
      <c r="B9" s="131"/>
      <c r="C9" s="136"/>
      <c r="D9" s="136">
        <f>C9+'1-Ф3'!D13/Исх!$C$18-'2-ф2'!D9</f>
        <v>0</v>
      </c>
      <c r="E9" s="136">
        <f>D9+'1-Ф3'!E13/Исх!$C$18-'2-ф2'!E9</f>
        <v>0</v>
      </c>
      <c r="F9" s="136">
        <f>E9+'1-Ф3'!F13/Исх!$C$18-'2-ф2'!F9</f>
        <v>652.10030691964278</v>
      </c>
      <c r="G9" s="136">
        <f t="shared" ref="G9:I10" si="4">F9</f>
        <v>652.10030691964278</v>
      </c>
      <c r="H9" s="136">
        <f t="shared" si="4"/>
        <v>652.10030691964278</v>
      </c>
      <c r="I9" s="136">
        <f t="shared" si="4"/>
        <v>652.10030691964278</v>
      </c>
      <c r="J9" s="136">
        <f t="shared" ref="J9:O10" si="5">I9</f>
        <v>652.10030691964278</v>
      </c>
      <c r="K9" s="136">
        <f t="shared" si="5"/>
        <v>652.10030691964278</v>
      </c>
      <c r="L9" s="136">
        <f t="shared" si="5"/>
        <v>652.10030691964278</v>
      </c>
      <c r="M9" s="136">
        <f t="shared" si="5"/>
        <v>652.10030691964278</v>
      </c>
      <c r="N9" s="136">
        <f t="shared" si="5"/>
        <v>652.10030691964278</v>
      </c>
      <c r="O9" s="136">
        <f t="shared" si="5"/>
        <v>652.10030691964278</v>
      </c>
      <c r="P9" s="136">
        <f>O9</f>
        <v>652.10030691964278</v>
      </c>
      <c r="Q9" s="136">
        <f>O9</f>
        <v>652.10030691964278</v>
      </c>
      <c r="R9" s="136">
        <f t="shared" ref="R9:AB9" si="6">P9</f>
        <v>652.10030691964278</v>
      </c>
      <c r="S9" s="136">
        <f t="shared" si="6"/>
        <v>652.10030691964278</v>
      </c>
      <c r="T9" s="136">
        <f t="shared" si="6"/>
        <v>652.10030691964278</v>
      </c>
      <c r="U9" s="136">
        <f t="shared" si="6"/>
        <v>652.10030691964278</v>
      </c>
      <c r="V9" s="136">
        <f t="shared" si="6"/>
        <v>652.10030691964278</v>
      </c>
      <c r="W9" s="136">
        <f t="shared" si="6"/>
        <v>652.10030691964278</v>
      </c>
      <c r="X9" s="136">
        <f t="shared" si="6"/>
        <v>652.10030691964278</v>
      </c>
      <c r="Y9" s="136">
        <f t="shared" si="6"/>
        <v>652.10030691964278</v>
      </c>
      <c r="Z9" s="136">
        <f t="shared" si="6"/>
        <v>652.10030691964278</v>
      </c>
      <c r="AA9" s="136">
        <f t="shared" si="6"/>
        <v>652.10030691964278</v>
      </c>
      <c r="AB9" s="136">
        <f t="shared" si="6"/>
        <v>652.10030691964278</v>
      </c>
      <c r="AC9" s="136">
        <f>AB9</f>
        <v>652.10030691964278</v>
      </c>
      <c r="AD9" s="136">
        <f>AB9</f>
        <v>652.10030691964278</v>
      </c>
      <c r="AE9" s="136">
        <f>AC9</f>
        <v>652.10030691964278</v>
      </c>
      <c r="AF9" s="136">
        <f>AD9</f>
        <v>652.10030691964278</v>
      </c>
      <c r="AG9" s="136">
        <f>AE9</f>
        <v>652.10030691964278</v>
      </c>
      <c r="AH9" s="136">
        <f>AF9</f>
        <v>652.10030691964278</v>
      </c>
    </row>
    <row r="10" spans="1:183" ht="15" customHeight="1">
      <c r="A10" s="135" t="s">
        <v>140</v>
      </c>
      <c r="B10" s="131"/>
      <c r="C10" s="136"/>
      <c r="D10" s="136"/>
      <c r="E10" s="136"/>
      <c r="F10" s="136"/>
      <c r="G10" s="136">
        <f t="shared" si="4"/>
        <v>0</v>
      </c>
      <c r="H10" s="136">
        <f t="shared" si="4"/>
        <v>0</v>
      </c>
      <c r="I10" s="136">
        <f t="shared" si="4"/>
        <v>0</v>
      </c>
      <c r="J10" s="136">
        <f t="shared" si="5"/>
        <v>0</v>
      </c>
      <c r="K10" s="136">
        <f t="shared" si="5"/>
        <v>0</v>
      </c>
      <c r="L10" s="136">
        <f t="shared" si="5"/>
        <v>0</v>
      </c>
      <c r="M10" s="136">
        <f t="shared" si="5"/>
        <v>0</v>
      </c>
      <c r="N10" s="136">
        <f t="shared" si="5"/>
        <v>0</v>
      </c>
      <c r="O10" s="136">
        <f t="shared" si="5"/>
        <v>0</v>
      </c>
      <c r="P10" s="136">
        <f>O10</f>
        <v>0</v>
      </c>
      <c r="Q10" s="136">
        <f>P10+'1-Ф3'!Q13-'2-ф2'!Q9*Исх!$C$18</f>
        <v>0</v>
      </c>
      <c r="R10" s="136">
        <f>Q10+'1-Ф3'!R13-'2-ф2'!R9*Исх!$C$18</f>
        <v>0</v>
      </c>
      <c r="S10" s="136">
        <f>R10+'1-Ф3'!S13-'2-ф2'!S9*Исх!$C$18</f>
        <v>0</v>
      </c>
      <c r="T10" s="136">
        <f>S10+'1-Ф3'!T13-'2-ф2'!T9*Исх!$C$18</f>
        <v>0</v>
      </c>
      <c r="U10" s="136">
        <f>T10+'1-Ф3'!U13-'2-ф2'!U9*Исх!$C$18</f>
        <v>0</v>
      </c>
      <c r="V10" s="136">
        <f>U10+'1-Ф3'!V13-'2-ф2'!V9*Исх!$C$18</f>
        <v>0</v>
      </c>
      <c r="W10" s="136">
        <f>V10+'1-Ф3'!W13-'2-ф2'!W9*Исх!$C$18</f>
        <v>0</v>
      </c>
      <c r="X10" s="136">
        <f>W10+'1-Ф3'!X13-'2-ф2'!X9*Исх!$C$18</f>
        <v>0</v>
      </c>
      <c r="Y10" s="136">
        <f>X10+'1-Ф3'!Y13-'2-ф2'!Y9*Исх!$C$18</f>
        <v>0</v>
      </c>
      <c r="Z10" s="136">
        <f>Y10+'1-Ф3'!Z13-'2-ф2'!Z9*Исх!$C$18</f>
        <v>0</v>
      </c>
      <c r="AA10" s="136">
        <f>Z10+'1-Ф3'!AA13-'2-ф2'!AA9*Исх!$C$18</f>
        <v>0</v>
      </c>
      <c r="AB10" s="136">
        <f>AA10+'1-Ф3'!AB13-'2-ф2'!AB9*Исх!$C$18</f>
        <v>0</v>
      </c>
      <c r="AC10" s="136">
        <f>AB10</f>
        <v>0</v>
      </c>
      <c r="AD10" s="136">
        <f>AC10</f>
        <v>0</v>
      </c>
      <c r="AE10" s="136">
        <f>AD10</f>
        <v>0</v>
      </c>
      <c r="AF10" s="136">
        <f>AE10</f>
        <v>0</v>
      </c>
      <c r="AG10" s="136">
        <f>AF10</f>
        <v>0</v>
      </c>
      <c r="AH10" s="136">
        <f>AG10</f>
        <v>0</v>
      </c>
    </row>
    <row r="11" spans="1:183" ht="15" customHeight="1">
      <c r="A11" s="130" t="s">
        <v>141</v>
      </c>
      <c r="B11" s="131"/>
      <c r="C11" s="132">
        <f t="shared" ref="C11:AH11" si="7">SUM(C12:C14)</f>
        <v>0</v>
      </c>
      <c r="D11" s="132">
        <f t="shared" si="7"/>
        <v>9701.4490364583344</v>
      </c>
      <c r="E11" s="132">
        <f t="shared" si="7"/>
        <v>24834.460191145838</v>
      </c>
      <c r="F11" s="132">
        <f t="shared" si="7"/>
        <v>76983.968627976195</v>
      </c>
      <c r="G11" s="132">
        <f t="shared" si="7"/>
        <v>76616.469356803776</v>
      </c>
      <c r="H11" s="132">
        <f t="shared" si="7"/>
        <v>76248.970085631358</v>
      </c>
      <c r="I11" s="132">
        <f t="shared" si="7"/>
        <v>75881.470814458939</v>
      </c>
      <c r="J11" s="132">
        <f t="shared" si="7"/>
        <v>75513.97154328652</v>
      </c>
      <c r="K11" s="132">
        <f t="shared" si="7"/>
        <v>75146.472272114115</v>
      </c>
      <c r="L11" s="132">
        <f t="shared" si="7"/>
        <v>74778.973000941696</v>
      </c>
      <c r="M11" s="132">
        <f t="shared" si="7"/>
        <v>74411.473729769277</v>
      </c>
      <c r="N11" s="132">
        <f t="shared" si="7"/>
        <v>74043.974458596873</v>
      </c>
      <c r="O11" s="132">
        <f t="shared" si="7"/>
        <v>73676.475187424454</v>
      </c>
      <c r="P11" s="132">
        <f t="shared" si="7"/>
        <v>73676.475187424454</v>
      </c>
      <c r="Q11" s="132">
        <f t="shared" si="7"/>
        <v>73192.178929812304</v>
      </c>
      <c r="R11" s="132">
        <f t="shared" si="7"/>
        <v>72707.882672200154</v>
      </c>
      <c r="S11" s="132">
        <f t="shared" si="7"/>
        <v>72223.586414588004</v>
      </c>
      <c r="T11" s="132">
        <f t="shared" si="7"/>
        <v>71739.290156975854</v>
      </c>
      <c r="U11" s="132">
        <f t="shared" si="7"/>
        <v>71254.993899363719</v>
      </c>
      <c r="V11" s="132">
        <f t="shared" si="7"/>
        <v>70770.697641751569</v>
      </c>
      <c r="W11" s="132">
        <f t="shared" si="7"/>
        <v>70286.401384139419</v>
      </c>
      <c r="X11" s="132">
        <f t="shared" si="7"/>
        <v>69802.105126527269</v>
      </c>
      <c r="Y11" s="132">
        <f t="shared" si="7"/>
        <v>69317.808868915119</v>
      </c>
      <c r="Z11" s="132">
        <f t="shared" si="7"/>
        <v>68833.512611302984</v>
      </c>
      <c r="AA11" s="132">
        <f t="shared" si="7"/>
        <v>68349.216353690834</v>
      </c>
      <c r="AB11" s="132">
        <f t="shared" si="7"/>
        <v>67864.920096078684</v>
      </c>
      <c r="AC11" s="132">
        <f t="shared" si="7"/>
        <v>67864.920096078684</v>
      </c>
      <c r="AD11" s="132">
        <f t="shared" si="7"/>
        <v>61771.444316842259</v>
      </c>
      <c r="AE11" s="132">
        <f t="shared" si="7"/>
        <v>59264.399201166103</v>
      </c>
      <c r="AF11" s="132">
        <f t="shared" si="7"/>
        <v>56757.354085489947</v>
      </c>
      <c r="AG11" s="132">
        <f t="shared" si="7"/>
        <v>54250.308969813792</v>
      </c>
      <c r="AH11" s="132">
        <f t="shared" si="7"/>
        <v>51743.263854137636</v>
      </c>
    </row>
    <row r="12" spans="1:183">
      <c r="A12" s="135" t="s">
        <v>142</v>
      </c>
      <c r="B12" s="137"/>
      <c r="C12" s="136"/>
      <c r="D12" s="136">
        <f>C12+'1-Ф3'!D22/Исх!$C$18-'2-ф2'!D13</f>
        <v>8662.0080682663702</v>
      </c>
      <c r="E12" s="136">
        <f>D12+'1-Ф3'!E22/Исх!$C$18-'2-ф2'!E13</f>
        <v>22173.625170665928</v>
      </c>
      <c r="F12" s="136">
        <f>E12+'1-Ф3'!F22/Исх!$C$18-'2-ф2'!F13</f>
        <v>68665.818384951635</v>
      </c>
      <c r="G12" s="136">
        <f>F12+'1-Ф3'!G22/Исх!$C$18-'2-ф2'!G13</f>
        <v>68456.897958645292</v>
      </c>
      <c r="H12" s="136">
        <f>G12+'1-Ф3'!H22/Исх!$C$18-'2-ф2'!H13</f>
        <v>68247.977532338948</v>
      </c>
      <c r="I12" s="136">
        <f>H12+'1-Ф3'!I22/Исх!$C$18-'2-ф2'!I13</f>
        <v>68039.057106032604</v>
      </c>
      <c r="J12" s="136">
        <f>I12+'1-Ф3'!J22/Исх!$C$18-'2-ф2'!J13</f>
        <v>67830.13667972626</v>
      </c>
      <c r="K12" s="136">
        <f>J12+'1-Ф3'!K22/Исх!$C$18-'2-ф2'!K13</f>
        <v>67621.216253419916</v>
      </c>
      <c r="L12" s="136">
        <f>K12+'1-Ф3'!L22/Исх!$C$18-'2-ф2'!L13</f>
        <v>67412.295827113572</v>
      </c>
      <c r="M12" s="136">
        <f>L12+'1-Ф3'!M22/Исх!$C$18-'2-ф2'!M13</f>
        <v>67203.375400807228</v>
      </c>
      <c r="N12" s="136">
        <f>M12+'1-Ф3'!N22/Исх!$C$18-'2-ф2'!N13</f>
        <v>66994.454974500884</v>
      </c>
      <c r="O12" s="136">
        <f>N12+'1-Ф3'!O22/Исх!$C$18-'2-ф2'!O13</f>
        <v>66785.534548194541</v>
      </c>
      <c r="P12" s="136">
        <f>O12</f>
        <v>66785.534548194541</v>
      </c>
      <c r="Q12" s="136">
        <f>P12+'1-Ф3'!Q22/Исх!$C$18-'2-ф2'!Q13</f>
        <v>66576.614121888197</v>
      </c>
      <c r="R12" s="136">
        <f>Q12+'1-Ф3'!R22/Исх!$C$18-'2-ф2'!R13</f>
        <v>66367.693695581853</v>
      </c>
      <c r="S12" s="136">
        <f>R12+'1-Ф3'!S22/Исх!$C$18-'2-ф2'!S13</f>
        <v>66158.773269275509</v>
      </c>
      <c r="T12" s="136">
        <f>S12+'1-Ф3'!T22/Исх!$C$18-'2-ф2'!T13</f>
        <v>65949.852842969165</v>
      </c>
      <c r="U12" s="136">
        <f>T12+'1-Ф3'!U22/Исх!$C$18-'2-ф2'!U13</f>
        <v>65740.932416662821</v>
      </c>
      <c r="V12" s="136">
        <f>U12+'1-Ф3'!V22/Исх!$C$18-'2-ф2'!V13</f>
        <v>65532.011990356477</v>
      </c>
      <c r="W12" s="136">
        <f>V12+'1-Ф3'!W22/Исх!$C$18-'2-ф2'!W13</f>
        <v>65323.091564050133</v>
      </c>
      <c r="X12" s="136">
        <f>W12+'1-Ф3'!X22/Исх!$C$18-'2-ф2'!X13</f>
        <v>65114.17113774379</v>
      </c>
      <c r="Y12" s="136">
        <f>X12+'1-Ф3'!Y22/Исх!$C$18-'2-ф2'!Y13</f>
        <v>64905.250711437446</v>
      </c>
      <c r="Z12" s="136">
        <f>Y12+'1-Ф3'!Z22/Исх!$C$18-'2-ф2'!Z13</f>
        <v>64696.330285131102</v>
      </c>
      <c r="AA12" s="136">
        <f>Z12+'1-Ф3'!AA22/Исх!$C$18-'2-ф2'!AA13</f>
        <v>64487.409858824758</v>
      </c>
      <c r="AB12" s="136">
        <f>AA12+'1-Ф3'!AB22/Исх!$C$18-'2-ф2'!AB13</f>
        <v>64278.489432518414</v>
      </c>
      <c r="AC12" s="136">
        <f>AB12</f>
        <v>64278.489432518414</v>
      </c>
      <c r="AD12" s="136">
        <f>AC12+'1-Ф3'!AD22/Исх!$C$18-'2-ф2'!AD13</f>
        <v>61771.444316842259</v>
      </c>
      <c r="AE12" s="136">
        <f>AD12+'1-Ф3'!AE22/Исх!$C$18-'2-ф2'!AE13</f>
        <v>59264.399201166103</v>
      </c>
      <c r="AF12" s="136">
        <f>AE12+'1-Ф3'!AF22/Исх!$C$18-'2-ф2'!AF13</f>
        <v>56757.354085489947</v>
      </c>
      <c r="AG12" s="136">
        <f>AF12+'1-Ф3'!AG22/Исх!$C$18-'2-ф2'!AG13</f>
        <v>54250.308969813792</v>
      </c>
      <c r="AH12" s="136">
        <f>AG12+'1-Ф3'!AH22/Исх!$C$18-'2-ф2'!AH13</f>
        <v>51743.263854137636</v>
      </c>
    </row>
    <row r="13" spans="1:183" ht="15" hidden="1" customHeight="1">
      <c r="A13" s="135" t="s">
        <v>143</v>
      </c>
      <c r="B13" s="137"/>
      <c r="C13" s="136"/>
      <c r="D13" s="136">
        <f>C13</f>
        <v>0</v>
      </c>
      <c r="E13" s="136">
        <f>D13</f>
        <v>0</v>
      </c>
      <c r="F13" s="136">
        <f t="shared" ref="F13:AH14" si="8">E13</f>
        <v>0</v>
      </c>
      <c r="G13" s="136">
        <f t="shared" si="8"/>
        <v>0</v>
      </c>
      <c r="H13" s="136">
        <f t="shared" si="8"/>
        <v>0</v>
      </c>
      <c r="I13" s="136">
        <f t="shared" si="8"/>
        <v>0</v>
      </c>
      <c r="J13" s="136">
        <f t="shared" si="8"/>
        <v>0</v>
      </c>
      <c r="K13" s="136">
        <f t="shared" si="8"/>
        <v>0</v>
      </c>
      <c r="L13" s="136">
        <f t="shared" si="8"/>
        <v>0</v>
      </c>
      <c r="M13" s="136">
        <f t="shared" si="8"/>
        <v>0</v>
      </c>
      <c r="N13" s="136">
        <f t="shared" si="8"/>
        <v>0</v>
      </c>
      <c r="O13" s="136">
        <f t="shared" si="8"/>
        <v>0</v>
      </c>
      <c r="P13" s="136">
        <f t="shared" si="8"/>
        <v>0</v>
      </c>
      <c r="Q13" s="136">
        <f t="shared" si="8"/>
        <v>0</v>
      </c>
      <c r="R13" s="136">
        <f t="shared" si="8"/>
        <v>0</v>
      </c>
      <c r="S13" s="136">
        <f t="shared" si="8"/>
        <v>0</v>
      </c>
      <c r="T13" s="136">
        <f t="shared" si="8"/>
        <v>0</v>
      </c>
      <c r="U13" s="136">
        <f t="shared" si="8"/>
        <v>0</v>
      </c>
      <c r="V13" s="136">
        <f t="shared" si="8"/>
        <v>0</v>
      </c>
      <c r="W13" s="136">
        <f t="shared" si="8"/>
        <v>0</v>
      </c>
      <c r="X13" s="136">
        <f t="shared" si="8"/>
        <v>0</v>
      </c>
      <c r="Y13" s="136">
        <f t="shared" si="8"/>
        <v>0</v>
      </c>
      <c r="Z13" s="136">
        <f t="shared" si="8"/>
        <v>0</v>
      </c>
      <c r="AA13" s="136">
        <f t="shared" si="8"/>
        <v>0</v>
      </c>
      <c r="AB13" s="136">
        <f t="shared" si="8"/>
        <v>0</v>
      </c>
      <c r="AC13" s="136">
        <f t="shared" si="8"/>
        <v>0</v>
      </c>
      <c r="AD13" s="136">
        <f t="shared" si="8"/>
        <v>0</v>
      </c>
      <c r="AE13" s="136">
        <f t="shared" si="8"/>
        <v>0</v>
      </c>
      <c r="AF13" s="136">
        <f t="shared" si="8"/>
        <v>0</v>
      </c>
      <c r="AG13" s="136">
        <f t="shared" si="8"/>
        <v>0</v>
      </c>
      <c r="AH13" s="136">
        <f t="shared" si="8"/>
        <v>0</v>
      </c>
    </row>
    <row r="14" spans="1:183">
      <c r="A14" s="135" t="s">
        <v>144</v>
      </c>
      <c r="B14" s="137"/>
      <c r="C14" s="136"/>
      <c r="D14" s="136">
        <f>IF('2-ф2'!D30&lt;0,-'2-ф2'!D30,0)</f>
        <v>1039.4409681919644</v>
      </c>
      <c r="E14" s="136">
        <f>IF('2-ф2'!E30&lt;0,-'2-ф2'!E30,0)</f>
        <v>2660.8350204799112</v>
      </c>
      <c r="F14" s="136">
        <f>IF('2-ф2'!F30&lt;0,-'2-ф2'!F30,0)</f>
        <v>8318.1502430245528</v>
      </c>
      <c r="G14" s="136">
        <f>IF('2-ф2'!G30&lt;0,-'2-ф2'!G30,0)</f>
        <v>8159.5713981584813</v>
      </c>
      <c r="H14" s="136">
        <f>IF('2-ф2'!H30&lt;0,-'2-ф2'!H30,0)</f>
        <v>8000.9925532924099</v>
      </c>
      <c r="I14" s="136">
        <f>IF('2-ф2'!I30&lt;0,-'2-ф2'!I30,0)</f>
        <v>7842.4137084263384</v>
      </c>
      <c r="J14" s="136">
        <f>IF('2-ф2'!J30&lt;0,-'2-ф2'!J30,0)</f>
        <v>7683.834863560267</v>
      </c>
      <c r="K14" s="136">
        <f>IF('2-ф2'!K30&lt;0,-'2-ф2'!K30,0)</f>
        <v>7525.2560186941955</v>
      </c>
      <c r="L14" s="136">
        <f>IF('2-ф2'!L30&lt;0,-'2-ф2'!L30,0)</f>
        <v>7366.6771738281241</v>
      </c>
      <c r="M14" s="136">
        <f>IF('2-ф2'!M30&lt;0,-'2-ф2'!M30,0)</f>
        <v>7208.0983289620526</v>
      </c>
      <c r="N14" s="136">
        <f>IF('2-ф2'!N30&lt;0,-'2-ф2'!N30,0)</f>
        <v>7049.5194840959812</v>
      </c>
      <c r="O14" s="136">
        <f>IF('2-ф2'!O30&lt;0,-'2-ф2'!O30,0)</f>
        <v>6890.9406392299097</v>
      </c>
      <c r="P14" s="136">
        <f t="shared" si="8"/>
        <v>6890.9406392299097</v>
      </c>
      <c r="Q14" s="136">
        <f>IF('2-ф2'!Q30&lt;0,-'2-ф2'!Q30,0)</f>
        <v>6615.5648079241064</v>
      </c>
      <c r="R14" s="136">
        <f>IF('2-ф2'!R30&lt;0,-'2-ф2'!R30,0)</f>
        <v>6340.1889766183031</v>
      </c>
      <c r="S14" s="136">
        <f>IF('2-ф2'!S30&lt;0,-'2-ф2'!S30,0)</f>
        <v>6064.8131453124997</v>
      </c>
      <c r="T14" s="136">
        <f>IF('2-ф2'!T30&lt;0,-'2-ф2'!T30,0)</f>
        <v>5789.4373140066964</v>
      </c>
      <c r="U14" s="136">
        <f>IF('2-ф2'!U30&lt;0,-'2-ф2'!U30,0)</f>
        <v>5514.0614827008931</v>
      </c>
      <c r="V14" s="136">
        <f>IF('2-ф2'!V30&lt;0,-'2-ф2'!V30,0)</f>
        <v>5238.6856513950897</v>
      </c>
      <c r="W14" s="136">
        <f>IF('2-ф2'!W30&lt;0,-'2-ф2'!W30,0)</f>
        <v>4963.3098200892864</v>
      </c>
      <c r="X14" s="136">
        <f>IF('2-ф2'!X30&lt;0,-'2-ф2'!X30,0)</f>
        <v>4687.9339887834831</v>
      </c>
      <c r="Y14" s="136">
        <f>IF('2-ф2'!Y30&lt;0,-'2-ф2'!Y30,0)</f>
        <v>4412.5581574776797</v>
      </c>
      <c r="Z14" s="136">
        <f>IF('2-ф2'!Z30&lt;0,-'2-ф2'!Z30,0)</f>
        <v>4137.1823261718764</v>
      </c>
      <c r="AA14" s="136">
        <f>IF('2-ф2'!AA30&lt;0,-'2-ф2'!AA30,0)</f>
        <v>3861.8064948660731</v>
      </c>
      <c r="AB14" s="136">
        <f>IF('2-ф2'!AB30&lt;0,-'2-ф2'!AB30,0)</f>
        <v>3586.4306635602697</v>
      </c>
      <c r="AC14" s="136">
        <f t="shared" si="8"/>
        <v>3586.4306635602697</v>
      </c>
      <c r="AD14" s="136">
        <f>IF('2-ф2'!AD30&lt;0,-'2-ф2'!AD30,0)</f>
        <v>0</v>
      </c>
      <c r="AE14" s="136">
        <f>IF('2-ф2'!AE30&lt;0,-'2-ф2'!AE30,0)</f>
        <v>0</v>
      </c>
      <c r="AF14" s="136">
        <f>IF('2-ф2'!AF30&lt;0,-'2-ф2'!AF30,0)</f>
        <v>0</v>
      </c>
      <c r="AG14" s="136">
        <f>IF('2-ф2'!AG30&lt;0,-'2-ф2'!AG30,0)</f>
        <v>0</v>
      </c>
      <c r="AH14" s="136">
        <f>IF('2-ф2'!AH30&lt;0,-'2-ф2'!AH30,0)</f>
        <v>0</v>
      </c>
    </row>
    <row r="15" spans="1:183">
      <c r="A15" s="138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  <c r="ES15" s="138"/>
      <c r="ET15" s="138"/>
      <c r="EU15" s="138"/>
      <c r="EV15" s="138"/>
      <c r="EW15" s="138"/>
      <c r="EX15" s="138"/>
      <c r="EY15" s="138"/>
      <c r="EZ15" s="138"/>
      <c r="FA15" s="138"/>
      <c r="FB15" s="138"/>
      <c r="FC15" s="138"/>
      <c r="FD15" s="138"/>
      <c r="FE15" s="138"/>
      <c r="FF15" s="138"/>
      <c r="FG15" s="138"/>
      <c r="FH15" s="138"/>
      <c r="FI15" s="138"/>
      <c r="FJ15" s="138"/>
      <c r="FK15" s="138"/>
      <c r="FL15" s="138"/>
      <c r="FM15" s="138"/>
      <c r="FN15" s="138"/>
      <c r="FO15" s="138"/>
      <c r="FP15" s="138"/>
      <c r="FQ15" s="138"/>
      <c r="FR15" s="138"/>
      <c r="FS15" s="138"/>
      <c r="FT15" s="138"/>
      <c r="FU15" s="138"/>
      <c r="FV15" s="138"/>
      <c r="FW15" s="138"/>
      <c r="FX15" s="138"/>
      <c r="FY15" s="138"/>
      <c r="FZ15" s="138"/>
      <c r="GA15" s="138"/>
    </row>
    <row r="16" spans="1:183" s="134" customFormat="1" ht="15" customHeight="1">
      <c r="A16" s="130" t="s">
        <v>145</v>
      </c>
      <c r="B16" s="131"/>
      <c r="C16" s="131">
        <f t="shared" ref="C16:AH16" si="9">C21+C24+C17</f>
        <v>0</v>
      </c>
      <c r="D16" s="131">
        <f t="shared" si="9"/>
        <v>9701.4490364583362</v>
      </c>
      <c r="E16" s="131">
        <f t="shared" si="9"/>
        <v>24834.460191145841</v>
      </c>
      <c r="F16" s="131">
        <f t="shared" si="9"/>
        <v>77636.06893489584</v>
      </c>
      <c r="G16" s="131">
        <f t="shared" si="9"/>
        <v>77298.834581723509</v>
      </c>
      <c r="H16" s="131">
        <f t="shared" si="9"/>
        <v>76961.600228551193</v>
      </c>
      <c r="I16" s="131">
        <f t="shared" si="9"/>
        <v>79624.365875378891</v>
      </c>
      <c r="J16" s="131">
        <f t="shared" si="9"/>
        <v>79287.13152220656</v>
      </c>
      <c r="K16" s="131">
        <f t="shared" si="9"/>
        <v>78949.897169034244</v>
      </c>
      <c r="L16" s="131">
        <f t="shared" si="9"/>
        <v>78612.662815861928</v>
      </c>
      <c r="M16" s="131">
        <f t="shared" si="9"/>
        <v>77230.895652080639</v>
      </c>
      <c r="N16" s="131">
        <f t="shared" si="9"/>
        <v>75853.367172168495</v>
      </c>
      <c r="O16" s="131">
        <f t="shared" si="9"/>
        <v>74480.077376125482</v>
      </c>
      <c r="P16" s="131">
        <f t="shared" si="9"/>
        <v>74480.077376125482</v>
      </c>
      <c r="Q16" s="131">
        <f t="shared" si="9"/>
        <v>74031.457948796815</v>
      </c>
      <c r="R16" s="131">
        <f t="shared" si="9"/>
        <v>73587.077205337293</v>
      </c>
      <c r="S16" s="131">
        <f t="shared" si="9"/>
        <v>73146.935145746887</v>
      </c>
      <c r="T16" s="131">
        <f t="shared" si="9"/>
        <v>72711.031770025642</v>
      </c>
      <c r="U16" s="131">
        <f t="shared" si="9"/>
        <v>72279.367078173527</v>
      </c>
      <c r="V16" s="131">
        <f t="shared" si="9"/>
        <v>71851.941070190544</v>
      </c>
      <c r="W16" s="131">
        <f t="shared" si="9"/>
        <v>71428.753746076705</v>
      </c>
      <c r="X16" s="131">
        <f t="shared" si="9"/>
        <v>71009.805105831998</v>
      </c>
      <c r="Y16" s="131">
        <f t="shared" si="9"/>
        <v>70595.095149456436</v>
      </c>
      <c r="Z16" s="131">
        <f t="shared" si="9"/>
        <v>70184.62387695002</v>
      </c>
      <c r="AA16" s="131">
        <f t="shared" si="9"/>
        <v>69778.391288312734</v>
      </c>
      <c r="AB16" s="131">
        <f t="shared" si="9"/>
        <v>69376.397383544579</v>
      </c>
      <c r="AC16" s="131">
        <f t="shared" si="9"/>
        <v>69376.397383544579</v>
      </c>
      <c r="AD16" s="131">
        <f t="shared" si="9"/>
        <v>66879.018621509284</v>
      </c>
      <c r="AE16" s="131">
        <f t="shared" si="9"/>
        <v>71757.341377272693</v>
      </c>
      <c r="AF16" s="131">
        <f t="shared" si="9"/>
        <v>74100.154820097436</v>
      </c>
      <c r="AG16" s="131">
        <f t="shared" si="9"/>
        <v>85449.655967051396</v>
      </c>
      <c r="AH16" s="131">
        <f t="shared" si="9"/>
        <v>97368.867724924887</v>
      </c>
      <c r="AI16" s="133"/>
      <c r="AJ16" s="133"/>
      <c r="AK16" s="133"/>
      <c r="AL16" s="133"/>
      <c r="AM16" s="133"/>
      <c r="AN16" s="133"/>
      <c r="AO16" s="133"/>
    </row>
    <row r="17" spans="1:35" ht="15" customHeight="1">
      <c r="A17" s="130" t="s">
        <v>146</v>
      </c>
      <c r="B17" s="131"/>
      <c r="C17" s="131">
        <f t="shared" ref="C17:AH17" si="10">SUM(C18:C20)</f>
        <v>0</v>
      </c>
      <c r="D17" s="131">
        <f t="shared" si="10"/>
        <v>0</v>
      </c>
      <c r="E17" s="131">
        <f t="shared" si="10"/>
        <v>36.784660929904526</v>
      </c>
      <c r="F17" s="131">
        <f t="shared" si="10"/>
        <v>130.94865582133252</v>
      </c>
      <c r="G17" s="131">
        <f t="shared" si="10"/>
        <v>425.3187505328126</v>
      </c>
      <c r="H17" s="131">
        <f t="shared" si="10"/>
        <v>719.68884524429268</v>
      </c>
      <c r="I17" s="131">
        <f t="shared" si="10"/>
        <v>1014.0589399557728</v>
      </c>
      <c r="J17" s="131">
        <f t="shared" si="10"/>
        <v>1320.6790346672528</v>
      </c>
      <c r="K17" s="131">
        <f t="shared" si="10"/>
        <v>1627.2991293787329</v>
      </c>
      <c r="L17" s="131">
        <f t="shared" si="10"/>
        <v>0</v>
      </c>
      <c r="M17" s="131">
        <f t="shared" si="10"/>
        <v>0</v>
      </c>
      <c r="N17" s="131">
        <f t="shared" si="10"/>
        <v>0</v>
      </c>
      <c r="O17" s="131">
        <f t="shared" si="10"/>
        <v>0</v>
      </c>
      <c r="P17" s="131">
        <f t="shared" si="10"/>
        <v>0</v>
      </c>
      <c r="Q17" s="131">
        <f t="shared" si="10"/>
        <v>0</v>
      </c>
      <c r="R17" s="131">
        <f t="shared" si="10"/>
        <v>0</v>
      </c>
      <c r="S17" s="131">
        <f t="shared" si="10"/>
        <v>0</v>
      </c>
      <c r="T17" s="131">
        <f t="shared" si="10"/>
        <v>0</v>
      </c>
      <c r="U17" s="131">
        <f t="shared" si="10"/>
        <v>0</v>
      </c>
      <c r="V17" s="131">
        <f t="shared" si="10"/>
        <v>0</v>
      </c>
      <c r="W17" s="131">
        <f t="shared" si="10"/>
        <v>0</v>
      </c>
      <c r="X17" s="131">
        <f t="shared" si="10"/>
        <v>0</v>
      </c>
      <c r="Y17" s="131">
        <f t="shared" si="10"/>
        <v>0</v>
      </c>
      <c r="Z17" s="131">
        <f t="shared" si="10"/>
        <v>0</v>
      </c>
      <c r="AA17" s="131">
        <f t="shared" si="10"/>
        <v>0</v>
      </c>
      <c r="AB17" s="131">
        <f t="shared" si="10"/>
        <v>0</v>
      </c>
      <c r="AC17" s="131">
        <f t="shared" si="10"/>
        <v>0</v>
      </c>
      <c r="AD17" s="131">
        <f t="shared" si="10"/>
        <v>0</v>
      </c>
      <c r="AE17" s="131">
        <f t="shared" si="10"/>
        <v>0</v>
      </c>
      <c r="AF17" s="131">
        <f t="shared" si="10"/>
        <v>0</v>
      </c>
      <c r="AG17" s="131">
        <f t="shared" si="10"/>
        <v>0</v>
      </c>
      <c r="AH17" s="131">
        <f t="shared" si="10"/>
        <v>0</v>
      </c>
    </row>
    <row r="18" spans="1:35" hidden="1">
      <c r="A18" s="135" t="s">
        <v>147</v>
      </c>
      <c r="B18" s="137"/>
      <c r="C18" s="137"/>
      <c r="D18" s="137">
        <f>C18</f>
        <v>0</v>
      </c>
      <c r="E18" s="137">
        <f>D18</f>
        <v>0</v>
      </c>
      <c r="F18" s="137">
        <f t="shared" ref="F18:O18" si="11">E18</f>
        <v>0</v>
      </c>
      <c r="G18" s="137">
        <f t="shared" si="11"/>
        <v>0</v>
      </c>
      <c r="H18" s="137">
        <f t="shared" si="11"/>
        <v>0</v>
      </c>
      <c r="I18" s="137">
        <f t="shared" si="11"/>
        <v>0</v>
      </c>
      <c r="J18" s="137">
        <f t="shared" si="11"/>
        <v>0</v>
      </c>
      <c r="K18" s="137">
        <f t="shared" si="11"/>
        <v>0</v>
      </c>
      <c r="L18" s="137">
        <f t="shared" si="11"/>
        <v>0</v>
      </c>
      <c r="M18" s="137">
        <f t="shared" si="11"/>
        <v>0</v>
      </c>
      <c r="N18" s="137">
        <f t="shared" si="11"/>
        <v>0</v>
      </c>
      <c r="O18" s="137">
        <f t="shared" si="11"/>
        <v>0</v>
      </c>
      <c r="P18" s="137">
        <f>O18</f>
        <v>0</v>
      </c>
      <c r="Q18" s="137">
        <f>P18</f>
        <v>0</v>
      </c>
      <c r="R18" s="137">
        <f>Q18</f>
        <v>0</v>
      </c>
      <c r="S18" s="137">
        <f>R18</f>
        <v>0</v>
      </c>
      <c r="T18" s="137">
        <f>S18</f>
        <v>0</v>
      </c>
      <c r="U18" s="137">
        <f t="shared" ref="U18:AF18" si="12">T18</f>
        <v>0</v>
      </c>
      <c r="V18" s="137">
        <f t="shared" si="12"/>
        <v>0</v>
      </c>
      <c r="W18" s="137">
        <f t="shared" si="12"/>
        <v>0</v>
      </c>
      <c r="X18" s="137">
        <f t="shared" si="12"/>
        <v>0</v>
      </c>
      <c r="Y18" s="137">
        <f t="shared" si="12"/>
        <v>0</v>
      </c>
      <c r="Z18" s="137">
        <f t="shared" si="12"/>
        <v>0</v>
      </c>
      <c r="AA18" s="137">
        <f t="shared" si="12"/>
        <v>0</v>
      </c>
      <c r="AB18" s="137">
        <f t="shared" si="12"/>
        <v>0</v>
      </c>
      <c r="AC18" s="137">
        <f t="shared" si="12"/>
        <v>0</v>
      </c>
      <c r="AD18" s="137">
        <f t="shared" si="12"/>
        <v>0</v>
      </c>
      <c r="AE18" s="137">
        <f t="shared" si="12"/>
        <v>0</v>
      </c>
      <c r="AF18" s="137">
        <f t="shared" si="12"/>
        <v>0</v>
      </c>
      <c r="AG18" s="137">
        <f>AF18</f>
        <v>0</v>
      </c>
      <c r="AH18" s="137">
        <f>AG18</f>
        <v>0</v>
      </c>
    </row>
    <row r="19" spans="1:35" ht="25.5">
      <c r="A19" s="135" t="s">
        <v>148</v>
      </c>
      <c r="B19" s="137"/>
      <c r="C19" s="137"/>
      <c r="D19" s="137">
        <f>C19+'2-ф2'!D14-'1-Ф3'!D16-кр!C8</f>
        <v>0</v>
      </c>
      <c r="E19" s="137">
        <f>D19+'2-ф2'!E14-'1-Ф3'!E16-кр!D8</f>
        <v>36.784660929904526</v>
      </c>
      <c r="F19" s="137">
        <f>E19+'2-ф2'!F14-'1-Ф3'!F16-кр!E8</f>
        <v>130.94865582133252</v>
      </c>
      <c r="G19" s="137">
        <f>F19+'2-ф2'!G14-'1-Ф3'!G16-кр!F8</f>
        <v>425.3187505328126</v>
      </c>
      <c r="H19" s="137">
        <f>G19+'2-ф2'!H14-'1-Ф3'!H16-кр!G8</f>
        <v>719.68884524429268</v>
      </c>
      <c r="I19" s="137">
        <f>H19+'2-ф2'!I14-'1-Ф3'!I16-кр!H8</f>
        <v>1014.0589399557728</v>
      </c>
      <c r="J19" s="137">
        <f>I19+'2-ф2'!J14-'1-Ф3'!J16-кр!I8</f>
        <v>1320.6790346672528</v>
      </c>
      <c r="K19" s="137">
        <f>J19+'2-ф2'!K14-'1-Ф3'!K16-кр!J8</f>
        <v>1627.2991293787329</v>
      </c>
      <c r="L19" s="137">
        <f>K19+'2-ф2'!L14-'1-Ф3'!L16-кр!K8</f>
        <v>0</v>
      </c>
      <c r="M19" s="137">
        <f>L19+'2-ф2'!M14-'1-Ф3'!M16-кр!L8</f>
        <v>0</v>
      </c>
      <c r="N19" s="137">
        <f>M19+'2-ф2'!N14-'1-Ф3'!N16-кр!M8</f>
        <v>0</v>
      </c>
      <c r="O19" s="137">
        <f>N19+'2-ф2'!O14-'1-Ф3'!O16-кр!N8</f>
        <v>0</v>
      </c>
      <c r="P19" s="137">
        <f>O19</f>
        <v>0</v>
      </c>
      <c r="Q19" s="137">
        <f>P19+'2-ф2'!Q14-'1-Ф3'!Q16</f>
        <v>0</v>
      </c>
      <c r="R19" s="137">
        <f>Q19+'2-ф2'!R14-'1-Ф3'!R16</f>
        <v>0</v>
      </c>
      <c r="S19" s="137">
        <f>R19+'2-ф2'!S14-'1-Ф3'!S16</f>
        <v>0</v>
      </c>
      <c r="T19" s="137">
        <f>S19+'2-ф2'!T14-'1-Ф3'!T16</f>
        <v>0</v>
      </c>
      <c r="U19" s="137">
        <f>T19+'2-ф2'!U14-'1-Ф3'!U16</f>
        <v>0</v>
      </c>
      <c r="V19" s="137">
        <f>U19+'2-ф2'!V14-'1-Ф3'!V16</f>
        <v>0</v>
      </c>
      <c r="W19" s="137">
        <f>V19+'2-ф2'!W14-'1-Ф3'!W16</f>
        <v>0</v>
      </c>
      <c r="X19" s="137">
        <f>W19+'2-ф2'!X14-'1-Ф3'!X16</f>
        <v>0</v>
      </c>
      <c r="Y19" s="137">
        <f>X19+'2-ф2'!Y14-'1-Ф3'!Y16</f>
        <v>0</v>
      </c>
      <c r="Z19" s="137">
        <f>Y19+'2-ф2'!Z14-'1-Ф3'!Z16</f>
        <v>0</v>
      </c>
      <c r="AA19" s="137">
        <f>Z19+'2-ф2'!AA14-'1-Ф3'!AA16</f>
        <v>0</v>
      </c>
      <c r="AB19" s="137">
        <f>AA19+'2-ф2'!AB14-'1-Ф3'!AB16</f>
        <v>0</v>
      </c>
      <c r="AC19" s="137">
        <f>AB19</f>
        <v>0</v>
      </c>
      <c r="AD19" s="137">
        <f>AC19+'2-ф2'!AD14-'1-Ф3'!AD16</f>
        <v>0</v>
      </c>
      <c r="AE19" s="137">
        <f>AD19+'2-ф2'!AE14-'1-Ф3'!AE16</f>
        <v>0</v>
      </c>
      <c r="AF19" s="137">
        <f>AE19+'2-ф2'!AF14-'1-Ф3'!AF16</f>
        <v>0</v>
      </c>
      <c r="AG19" s="137">
        <f>AF19+'2-ф2'!AG14-'1-Ф3'!AG16</f>
        <v>0</v>
      </c>
      <c r="AH19" s="137">
        <f>AG19+'2-ф2'!AH14-'1-Ф3'!AH16</f>
        <v>0</v>
      </c>
      <c r="AI19" s="124"/>
    </row>
    <row r="20" spans="1:35">
      <c r="A20" s="135" t="s">
        <v>150</v>
      </c>
      <c r="B20" s="137"/>
      <c r="C20" s="137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7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7">
        <f>AB20</f>
        <v>0</v>
      </c>
      <c r="AD20" s="137"/>
      <c r="AE20" s="137"/>
      <c r="AF20" s="137"/>
      <c r="AG20" s="137"/>
      <c r="AH20" s="137"/>
    </row>
    <row r="21" spans="1:35" ht="15" customHeight="1">
      <c r="A21" s="130" t="s">
        <v>151</v>
      </c>
      <c r="B21" s="131"/>
      <c r="C21" s="131">
        <f t="shared" ref="C21:AH21" si="13">SUM(C22:C23)</f>
        <v>0</v>
      </c>
      <c r="D21" s="131">
        <f t="shared" si="13"/>
        <v>6305.9418736979187</v>
      </c>
      <c r="E21" s="131">
        <f t="shared" si="13"/>
        <v>16142.399124244797</v>
      </c>
      <c r="F21" s="131">
        <f t="shared" si="13"/>
        <v>50463.444807682296</v>
      </c>
      <c r="G21" s="131">
        <f t="shared" si="13"/>
        <v>50463.444807682296</v>
      </c>
      <c r="H21" s="131">
        <f t="shared" si="13"/>
        <v>50463.444807682296</v>
      </c>
      <c r="I21" s="131">
        <f t="shared" si="13"/>
        <v>52563.444807682296</v>
      </c>
      <c r="J21" s="131">
        <f t="shared" si="13"/>
        <v>52563.444807682296</v>
      </c>
      <c r="K21" s="131">
        <f t="shared" si="13"/>
        <v>52563.444807682296</v>
      </c>
      <c r="L21" s="131">
        <f t="shared" si="13"/>
        <v>54497.364031772508</v>
      </c>
      <c r="M21" s="131">
        <f t="shared" si="13"/>
        <v>53770.732511348877</v>
      </c>
      <c r="N21" s="131">
        <f t="shared" si="13"/>
        <v>53044.100990925246</v>
      </c>
      <c r="O21" s="131">
        <f t="shared" si="13"/>
        <v>52317.469470501615</v>
      </c>
      <c r="P21" s="131">
        <f t="shared" si="13"/>
        <v>52317.469470501615</v>
      </c>
      <c r="Q21" s="131">
        <f t="shared" si="13"/>
        <v>51590.837950077985</v>
      </c>
      <c r="R21" s="131">
        <f t="shared" si="13"/>
        <v>50864.206429654354</v>
      </c>
      <c r="S21" s="131">
        <f t="shared" si="13"/>
        <v>50137.574909230723</v>
      </c>
      <c r="T21" s="131">
        <f t="shared" si="13"/>
        <v>49410.943388807093</v>
      </c>
      <c r="U21" s="131">
        <f t="shared" si="13"/>
        <v>48684.311868383462</v>
      </c>
      <c r="V21" s="131">
        <f t="shared" si="13"/>
        <v>47957.680347959831</v>
      </c>
      <c r="W21" s="131">
        <f t="shared" si="13"/>
        <v>47231.0488275362</v>
      </c>
      <c r="X21" s="131">
        <f t="shared" si="13"/>
        <v>46504.41730711257</v>
      </c>
      <c r="Y21" s="131">
        <f t="shared" si="13"/>
        <v>45777.785786688939</v>
      </c>
      <c r="Z21" s="131">
        <f t="shared" si="13"/>
        <v>45051.154266265308</v>
      </c>
      <c r="AA21" s="131">
        <f t="shared" si="13"/>
        <v>44324.522745841678</v>
      </c>
      <c r="AB21" s="131">
        <f t="shared" si="13"/>
        <v>43597.891225418047</v>
      </c>
      <c r="AC21" s="131">
        <f t="shared" si="13"/>
        <v>43597.891225418047</v>
      </c>
      <c r="AD21" s="131">
        <f t="shared" si="13"/>
        <v>34878.312980334478</v>
      </c>
      <c r="AE21" s="131">
        <f t="shared" si="13"/>
        <v>26158.734735250873</v>
      </c>
      <c r="AF21" s="131">
        <f t="shared" si="13"/>
        <v>17439.156490167261</v>
      </c>
      <c r="AG21" s="131">
        <f t="shared" si="13"/>
        <v>8719.5782450836487</v>
      </c>
      <c r="AH21" s="131">
        <f t="shared" si="13"/>
        <v>4.7293724492192268E-11</v>
      </c>
    </row>
    <row r="22" spans="1:35">
      <c r="A22" s="135" t="s">
        <v>149</v>
      </c>
      <c r="B22" s="137"/>
      <c r="C22" s="131"/>
      <c r="D22" s="137">
        <f>кр!C12</f>
        <v>6305.9418736979187</v>
      </c>
      <c r="E22" s="137">
        <f>кр!D12</f>
        <v>16142.399124244797</v>
      </c>
      <c r="F22" s="137">
        <f>кр!E12</f>
        <v>50463.444807682296</v>
      </c>
      <c r="G22" s="137">
        <f>кр!F12</f>
        <v>50463.444807682296</v>
      </c>
      <c r="H22" s="137">
        <f>кр!G12</f>
        <v>50463.444807682296</v>
      </c>
      <c r="I22" s="137">
        <f>кр!H12</f>
        <v>52563.444807682296</v>
      </c>
      <c r="J22" s="137">
        <f>кр!I12</f>
        <v>52563.444807682296</v>
      </c>
      <c r="K22" s="137">
        <f>кр!J12</f>
        <v>52563.444807682296</v>
      </c>
      <c r="L22" s="137">
        <f>кр!K12</f>
        <v>54497.364031772508</v>
      </c>
      <c r="M22" s="137">
        <f>кр!L12</f>
        <v>53770.732511348877</v>
      </c>
      <c r="N22" s="137">
        <f>кр!M12</f>
        <v>53044.100990925246</v>
      </c>
      <c r="O22" s="137">
        <f>кр!N12</f>
        <v>52317.469470501615</v>
      </c>
      <c r="P22" s="137">
        <f>кр!O12</f>
        <v>52317.469470501615</v>
      </c>
      <c r="Q22" s="137">
        <f>кр!P12</f>
        <v>51590.837950077985</v>
      </c>
      <c r="R22" s="137">
        <f>кр!Q12</f>
        <v>50864.206429654354</v>
      </c>
      <c r="S22" s="137">
        <f>кр!R12</f>
        <v>50137.574909230723</v>
      </c>
      <c r="T22" s="137">
        <f>кр!S12</f>
        <v>49410.943388807093</v>
      </c>
      <c r="U22" s="137">
        <f>кр!T12</f>
        <v>48684.311868383462</v>
      </c>
      <c r="V22" s="137">
        <f>кр!U12</f>
        <v>47957.680347959831</v>
      </c>
      <c r="W22" s="137">
        <f>кр!V12</f>
        <v>47231.0488275362</v>
      </c>
      <c r="X22" s="137">
        <f>кр!W12</f>
        <v>46504.41730711257</v>
      </c>
      <c r="Y22" s="137">
        <f>кр!X12</f>
        <v>45777.785786688939</v>
      </c>
      <c r="Z22" s="137">
        <f>кр!Y12</f>
        <v>45051.154266265308</v>
      </c>
      <c r="AA22" s="137">
        <f>кр!Z12</f>
        <v>44324.522745841678</v>
      </c>
      <c r="AB22" s="137">
        <f>кр!AA12</f>
        <v>43597.891225418047</v>
      </c>
      <c r="AC22" s="137">
        <f>кр!AB12</f>
        <v>43597.891225418047</v>
      </c>
      <c r="AD22" s="137">
        <f>кр!AO12</f>
        <v>34878.312980334478</v>
      </c>
      <c r="AE22" s="137">
        <f>кр!BB12</f>
        <v>26158.734735250873</v>
      </c>
      <c r="AF22" s="137">
        <f>кр!BO12</f>
        <v>17439.156490167261</v>
      </c>
      <c r="AG22" s="137">
        <f>кр!CB12</f>
        <v>8719.5782450836487</v>
      </c>
      <c r="AH22" s="137">
        <f>кр!CO12</f>
        <v>4.7293724492192268E-11</v>
      </c>
    </row>
    <row r="23" spans="1:35" ht="15" hidden="1" customHeight="1">
      <c r="A23" s="135" t="s">
        <v>152</v>
      </c>
      <c r="B23" s="137"/>
      <c r="C23" s="137"/>
      <c r="D23" s="137">
        <f>C23</f>
        <v>0</v>
      </c>
      <c r="E23" s="137">
        <f>D23</f>
        <v>0</v>
      </c>
      <c r="F23" s="137">
        <f t="shared" ref="F23:AH23" si="14">E23</f>
        <v>0</v>
      </c>
      <c r="G23" s="137">
        <f t="shared" si="14"/>
        <v>0</v>
      </c>
      <c r="H23" s="137">
        <f t="shared" si="14"/>
        <v>0</v>
      </c>
      <c r="I23" s="137">
        <f t="shared" si="14"/>
        <v>0</v>
      </c>
      <c r="J23" s="137">
        <f t="shared" si="14"/>
        <v>0</v>
      </c>
      <c r="K23" s="137">
        <f t="shared" si="14"/>
        <v>0</v>
      </c>
      <c r="L23" s="137">
        <f t="shared" si="14"/>
        <v>0</v>
      </c>
      <c r="M23" s="137">
        <f t="shared" si="14"/>
        <v>0</v>
      </c>
      <c r="N23" s="137">
        <f t="shared" si="14"/>
        <v>0</v>
      </c>
      <c r="O23" s="137">
        <f t="shared" si="14"/>
        <v>0</v>
      </c>
      <c r="P23" s="137">
        <f t="shared" si="14"/>
        <v>0</v>
      </c>
      <c r="Q23" s="137">
        <f t="shared" si="14"/>
        <v>0</v>
      </c>
      <c r="R23" s="137">
        <f t="shared" si="14"/>
        <v>0</v>
      </c>
      <c r="S23" s="137">
        <f t="shared" si="14"/>
        <v>0</v>
      </c>
      <c r="T23" s="137">
        <f t="shared" si="14"/>
        <v>0</v>
      </c>
      <c r="U23" s="137">
        <f t="shared" si="14"/>
        <v>0</v>
      </c>
      <c r="V23" s="137">
        <f t="shared" si="14"/>
        <v>0</v>
      </c>
      <c r="W23" s="137">
        <f t="shared" si="14"/>
        <v>0</v>
      </c>
      <c r="X23" s="137">
        <f t="shared" si="14"/>
        <v>0</v>
      </c>
      <c r="Y23" s="137">
        <f t="shared" si="14"/>
        <v>0</v>
      </c>
      <c r="Z23" s="137">
        <f t="shared" si="14"/>
        <v>0</v>
      </c>
      <c r="AA23" s="137">
        <f t="shared" si="14"/>
        <v>0</v>
      </c>
      <c r="AB23" s="137">
        <f t="shared" si="14"/>
        <v>0</v>
      </c>
      <c r="AC23" s="131">
        <f>AB23</f>
        <v>0</v>
      </c>
      <c r="AD23" s="137">
        <f t="shared" si="14"/>
        <v>0</v>
      </c>
      <c r="AE23" s="137">
        <f t="shared" si="14"/>
        <v>0</v>
      </c>
      <c r="AF23" s="137">
        <f t="shared" si="14"/>
        <v>0</v>
      </c>
      <c r="AG23" s="137">
        <f t="shared" si="14"/>
        <v>0</v>
      </c>
      <c r="AH23" s="137">
        <f t="shared" si="14"/>
        <v>0</v>
      </c>
    </row>
    <row r="24" spans="1:35" s="134" customFormat="1" ht="15" customHeight="1">
      <c r="A24" s="130" t="s">
        <v>153</v>
      </c>
      <c r="B24" s="131"/>
      <c r="C24" s="131">
        <f t="shared" ref="C24:AH24" si="15">SUM(C25:C26)</f>
        <v>0</v>
      </c>
      <c r="D24" s="131">
        <f t="shared" si="15"/>
        <v>3395.5071627604175</v>
      </c>
      <c r="E24" s="131">
        <f t="shared" si="15"/>
        <v>8655.276405971139</v>
      </c>
      <c r="F24" s="131">
        <f t="shared" si="15"/>
        <v>27041.675471392206</v>
      </c>
      <c r="G24" s="131">
        <f t="shared" si="15"/>
        <v>26410.071023508408</v>
      </c>
      <c r="H24" s="131">
        <f t="shared" si="15"/>
        <v>25778.46657562461</v>
      </c>
      <c r="I24" s="131">
        <f t="shared" si="15"/>
        <v>26046.862127740813</v>
      </c>
      <c r="J24" s="131">
        <f t="shared" si="15"/>
        <v>25403.007679857015</v>
      </c>
      <c r="K24" s="131">
        <f t="shared" si="15"/>
        <v>24759.153231973218</v>
      </c>
      <c r="L24" s="131">
        <f t="shared" si="15"/>
        <v>24115.29878408942</v>
      </c>
      <c r="M24" s="131">
        <f t="shared" si="15"/>
        <v>23460.163140731765</v>
      </c>
      <c r="N24" s="131">
        <f t="shared" si="15"/>
        <v>22809.266181243249</v>
      </c>
      <c r="O24" s="131">
        <f t="shared" si="15"/>
        <v>22162.607905623867</v>
      </c>
      <c r="P24" s="131">
        <f t="shared" si="15"/>
        <v>22162.607905623867</v>
      </c>
      <c r="Q24" s="131">
        <f t="shared" si="15"/>
        <v>22440.61999871883</v>
      </c>
      <c r="R24" s="131">
        <f t="shared" si="15"/>
        <v>22722.870775682932</v>
      </c>
      <c r="S24" s="131">
        <f t="shared" si="15"/>
        <v>23009.360236516171</v>
      </c>
      <c r="T24" s="131">
        <f t="shared" si="15"/>
        <v>23300.088381218549</v>
      </c>
      <c r="U24" s="131">
        <f t="shared" si="15"/>
        <v>23595.055209790065</v>
      </c>
      <c r="V24" s="131">
        <f t="shared" si="15"/>
        <v>23894.260722230716</v>
      </c>
      <c r="W24" s="131">
        <f t="shared" si="15"/>
        <v>24197.704918540509</v>
      </c>
      <c r="X24" s="131">
        <f t="shared" si="15"/>
        <v>24505.387798719436</v>
      </c>
      <c r="Y24" s="131">
        <f t="shared" si="15"/>
        <v>24817.309362767504</v>
      </c>
      <c r="Z24" s="131">
        <f t="shared" si="15"/>
        <v>25133.469610684708</v>
      </c>
      <c r="AA24" s="131">
        <f t="shared" si="15"/>
        <v>25453.868542471049</v>
      </c>
      <c r="AB24" s="131">
        <f t="shared" si="15"/>
        <v>25778.506158126529</v>
      </c>
      <c r="AC24" s="131">
        <f t="shared" si="15"/>
        <v>25778.506158126529</v>
      </c>
      <c r="AD24" s="131">
        <f t="shared" si="15"/>
        <v>32000.705641174813</v>
      </c>
      <c r="AE24" s="131">
        <f t="shared" si="15"/>
        <v>45598.606642021819</v>
      </c>
      <c r="AF24" s="131">
        <f t="shared" si="15"/>
        <v>56660.998329930175</v>
      </c>
      <c r="AG24" s="131">
        <f t="shared" si="15"/>
        <v>76730.077721967755</v>
      </c>
      <c r="AH24" s="131">
        <f t="shared" si="15"/>
        <v>97368.867724924843</v>
      </c>
    </row>
    <row r="25" spans="1:35" ht="15" customHeight="1">
      <c r="A25" s="135" t="s">
        <v>154</v>
      </c>
      <c r="B25" s="131"/>
      <c r="C25" s="137"/>
      <c r="D25" s="137">
        <f>C25+'1-Ф3'!D29</f>
        <v>3395.5071627604175</v>
      </c>
      <c r="E25" s="137">
        <f>D25+'1-Ф3'!E29</f>
        <v>8692.0610669010439</v>
      </c>
      <c r="F25" s="137">
        <f>E25+'1-Ф3'!F29</f>
        <v>27172.624127213538</v>
      </c>
      <c r="G25" s="137">
        <f>F25+'1-Ф3'!G29</f>
        <v>27172.624127213538</v>
      </c>
      <c r="H25" s="137">
        <f>G25+'1-Ф3'!H29</f>
        <v>27172.624127213538</v>
      </c>
      <c r="I25" s="137">
        <f>H25+'1-Ф3'!I29</f>
        <v>28072.624127213538</v>
      </c>
      <c r="J25" s="137">
        <f>I25+'1-Ф3'!J29</f>
        <v>28072.624127213538</v>
      </c>
      <c r="K25" s="137">
        <f>J25+'1-Ф3'!K29</f>
        <v>28072.624127213538</v>
      </c>
      <c r="L25" s="137">
        <f>K25+'1-Ф3'!L29</f>
        <v>28072.624127213538</v>
      </c>
      <c r="M25" s="137">
        <f>L25+'1-Ф3'!M29</f>
        <v>28072.624127213538</v>
      </c>
      <c r="N25" s="137">
        <f>M25+'1-Ф3'!N29</f>
        <v>28072.624127213538</v>
      </c>
      <c r="O25" s="137">
        <f>N25+'1-Ф3'!O29</f>
        <v>28072.624127213538</v>
      </c>
      <c r="P25" s="137">
        <f>O25</f>
        <v>28072.624127213538</v>
      </c>
      <c r="Q25" s="137">
        <f>P25+'1-Ф3'!Q29</f>
        <v>28072.624127213538</v>
      </c>
      <c r="R25" s="137">
        <f>Q25+'1-Ф3'!R29</f>
        <v>28072.624127213538</v>
      </c>
      <c r="S25" s="137">
        <f>R25+'1-Ф3'!S29</f>
        <v>28072.624127213538</v>
      </c>
      <c r="T25" s="137">
        <f>S25+'1-Ф3'!T29</f>
        <v>28072.624127213538</v>
      </c>
      <c r="U25" s="137">
        <f>T25+'1-Ф3'!U29</f>
        <v>28072.624127213538</v>
      </c>
      <c r="V25" s="137">
        <f>U25+'1-Ф3'!V29</f>
        <v>28072.624127213538</v>
      </c>
      <c r="W25" s="137">
        <f>V25+'1-Ф3'!W29</f>
        <v>28072.624127213538</v>
      </c>
      <c r="X25" s="137">
        <f>W25+'1-Ф3'!X29</f>
        <v>28072.624127213538</v>
      </c>
      <c r="Y25" s="137">
        <f>X25+'1-Ф3'!Y29</f>
        <v>28072.624127213538</v>
      </c>
      <c r="Z25" s="137">
        <f>Y25+'1-Ф3'!Z29</f>
        <v>28072.624127213538</v>
      </c>
      <c r="AA25" s="137">
        <f>Z25+'1-Ф3'!AA29</f>
        <v>28072.624127213538</v>
      </c>
      <c r="AB25" s="137">
        <f>AA25+'1-Ф3'!AB29</f>
        <v>28072.624127213538</v>
      </c>
      <c r="AC25" s="137">
        <f>AB25</f>
        <v>28072.624127213538</v>
      </c>
      <c r="AD25" s="137">
        <f>AC25+'1-Ф3'!AD29</f>
        <v>28072.624127213538</v>
      </c>
      <c r="AE25" s="137">
        <f>AD25+'1-Ф3'!AE29</f>
        <v>28072.624127213538</v>
      </c>
      <c r="AF25" s="137">
        <f>AE25+'1-Ф3'!AF29</f>
        <v>28072.624127213538</v>
      </c>
      <c r="AG25" s="137">
        <f>AF25+'1-Ф3'!AG29</f>
        <v>28072.624127213538</v>
      </c>
      <c r="AH25" s="137">
        <f>AG25+'1-Ф3'!AH29</f>
        <v>28072.624127213538</v>
      </c>
    </row>
    <row r="26" spans="1:35" ht="15" customHeight="1">
      <c r="A26" s="135" t="s">
        <v>155</v>
      </c>
      <c r="B26" s="131"/>
      <c r="C26" s="137"/>
      <c r="D26" s="137">
        <f>'2-ф2'!D18</f>
        <v>0</v>
      </c>
      <c r="E26" s="137">
        <f>'2-ф2'!E18</f>
        <v>-36.784660929904526</v>
      </c>
      <c r="F26" s="137">
        <f>'2-ф2'!F18</f>
        <v>-130.94865582133252</v>
      </c>
      <c r="G26" s="137">
        <f>'2-ф2'!G18</f>
        <v>-762.55310370512973</v>
      </c>
      <c r="H26" s="137">
        <f>'2-ф2'!H18</f>
        <v>-1394.1575515889269</v>
      </c>
      <c r="I26" s="137">
        <f>'2-ф2'!I18</f>
        <v>-2025.7619994727243</v>
      </c>
      <c r="J26" s="137">
        <f>'2-ф2'!J18</f>
        <v>-2669.6164473565213</v>
      </c>
      <c r="K26" s="137">
        <f>'2-ф2'!K18</f>
        <v>-3313.4708952403184</v>
      </c>
      <c r="L26" s="137">
        <f>'2-ф2'!L18</f>
        <v>-3957.3253431241155</v>
      </c>
      <c r="M26" s="137">
        <f>'2-ф2'!M18</f>
        <v>-4612.4609864817721</v>
      </c>
      <c r="N26" s="137">
        <f>'2-ф2'!N18</f>
        <v>-5263.3579459702905</v>
      </c>
      <c r="O26" s="137">
        <f>'2-ф2'!O18</f>
        <v>-5910.0162215896717</v>
      </c>
      <c r="P26" s="137">
        <f>'2-ф2'!P18</f>
        <v>-5910.0162215896717</v>
      </c>
      <c r="Q26" s="137">
        <f>'2-ф2'!Q18</f>
        <v>-5632.0041284947074</v>
      </c>
      <c r="R26" s="137">
        <f>'2-ф2'!R18</f>
        <v>-5349.7533515306059</v>
      </c>
      <c r="S26" s="137">
        <f>'2-ф2'!S18</f>
        <v>-5063.2638906973662</v>
      </c>
      <c r="T26" s="137">
        <f>'2-ф2'!T18</f>
        <v>-4772.5357459949892</v>
      </c>
      <c r="U26" s="137">
        <f>'2-ф2'!U18</f>
        <v>-4477.568917423474</v>
      </c>
      <c r="V26" s="137">
        <f>'2-ф2'!V18</f>
        <v>-4178.3634049828206</v>
      </c>
      <c r="W26" s="137">
        <f>'2-ф2'!W18</f>
        <v>-3874.91920867303</v>
      </c>
      <c r="X26" s="137">
        <f>'2-ф2'!X18</f>
        <v>-3567.2363284941011</v>
      </c>
      <c r="Y26" s="137">
        <f>'2-ф2'!Y18</f>
        <v>-3255.3147644460346</v>
      </c>
      <c r="Z26" s="137">
        <f>'2-ф2'!Z18</f>
        <v>-2939.1545165288298</v>
      </c>
      <c r="AA26" s="137">
        <f>'2-ф2'!AA18</f>
        <v>-2618.7555847424874</v>
      </c>
      <c r="AB26" s="137">
        <f>'2-ф2'!AB18</f>
        <v>-2294.1179690870072</v>
      </c>
      <c r="AC26" s="137">
        <f>'2-ф2'!AC18</f>
        <v>-2294.1179690870072</v>
      </c>
      <c r="AD26" s="137">
        <f>'2-ф2'!AD18+'2-ф2'!AD34</f>
        <v>3928.0815139612737</v>
      </c>
      <c r="AE26" s="137">
        <f>'2-ф2'!AE18+'2-ф2'!AE34</f>
        <v>17525.982514808282</v>
      </c>
      <c r="AF26" s="137">
        <f>'2-ф2'!AF18+'2-ф2'!AF34</f>
        <v>28588.374202716637</v>
      </c>
      <c r="AG26" s="137">
        <f>'2-ф2'!AG18+'2-ф2'!AG34</f>
        <v>48657.453594754217</v>
      </c>
      <c r="AH26" s="137">
        <f>'2-ф2'!AH18+'2-ф2'!AH34</f>
        <v>69296.243597711305</v>
      </c>
    </row>
    <row r="28" spans="1:35">
      <c r="A28" s="140" t="s">
        <v>156</v>
      </c>
      <c r="B28" s="141"/>
      <c r="C28" s="142">
        <f t="shared" ref="C28:AH28" si="16">C5-C16</f>
        <v>0</v>
      </c>
      <c r="D28" s="143">
        <f t="shared" si="16"/>
        <v>0</v>
      </c>
      <c r="E28" s="143">
        <f t="shared" si="16"/>
        <v>0</v>
      </c>
      <c r="F28" s="143">
        <f t="shared" si="16"/>
        <v>0</v>
      </c>
      <c r="G28" s="143">
        <f t="shared" si="16"/>
        <v>0</v>
      </c>
      <c r="H28" s="143">
        <f t="shared" si="16"/>
        <v>0</v>
      </c>
      <c r="I28" s="143">
        <f t="shared" si="16"/>
        <v>0</v>
      </c>
      <c r="J28" s="143">
        <f t="shared" si="16"/>
        <v>0</v>
      </c>
      <c r="K28" s="143">
        <f t="shared" si="16"/>
        <v>0</v>
      </c>
      <c r="L28" s="143">
        <f t="shared" si="16"/>
        <v>0</v>
      </c>
      <c r="M28" s="143">
        <f t="shared" si="16"/>
        <v>0</v>
      </c>
      <c r="N28" s="143">
        <f t="shared" si="16"/>
        <v>0</v>
      </c>
      <c r="O28" s="143">
        <f t="shared" si="16"/>
        <v>0</v>
      </c>
      <c r="P28" s="143">
        <f>P5-P16</f>
        <v>0</v>
      </c>
      <c r="Q28" s="143">
        <f t="shared" si="16"/>
        <v>0</v>
      </c>
      <c r="R28" s="143">
        <f t="shared" si="16"/>
        <v>0</v>
      </c>
      <c r="S28" s="143">
        <f t="shared" si="16"/>
        <v>0</v>
      </c>
      <c r="T28" s="143">
        <f t="shared" si="16"/>
        <v>0</v>
      </c>
      <c r="U28" s="143">
        <f t="shared" si="16"/>
        <v>0</v>
      </c>
      <c r="V28" s="143">
        <f t="shared" si="16"/>
        <v>0</v>
      </c>
      <c r="W28" s="143">
        <f t="shared" si="16"/>
        <v>0</v>
      </c>
      <c r="X28" s="143">
        <f t="shared" si="16"/>
        <v>0</v>
      </c>
      <c r="Y28" s="143">
        <f t="shared" si="16"/>
        <v>0</v>
      </c>
      <c r="Z28" s="143">
        <f t="shared" si="16"/>
        <v>0</v>
      </c>
      <c r="AA28" s="143">
        <f t="shared" si="16"/>
        <v>0</v>
      </c>
      <c r="AB28" s="143">
        <f t="shared" si="16"/>
        <v>0</v>
      </c>
      <c r="AC28" s="143">
        <f t="shared" si="16"/>
        <v>0</v>
      </c>
      <c r="AD28" s="143">
        <f t="shared" si="16"/>
        <v>0</v>
      </c>
      <c r="AE28" s="143">
        <f t="shared" si="16"/>
        <v>0</v>
      </c>
      <c r="AF28" s="143">
        <f t="shared" si="16"/>
        <v>0</v>
      </c>
      <c r="AG28" s="143">
        <f t="shared" si="16"/>
        <v>0</v>
      </c>
      <c r="AH28" s="143">
        <f t="shared" si="16"/>
        <v>0</v>
      </c>
    </row>
    <row r="29" spans="1:35" hidden="1"/>
    <row r="30" spans="1:35" hidden="1">
      <c r="A30" s="123" t="s">
        <v>155</v>
      </c>
      <c r="P30" s="124">
        <f>P26</f>
        <v>-5910.0162215896717</v>
      </c>
      <c r="Q30" s="124">
        <v>109.48954266069855</v>
      </c>
      <c r="R30" s="124">
        <v>109.48954266069855</v>
      </c>
      <c r="S30" s="124">
        <v>108.45296951069854</v>
      </c>
      <c r="T30" s="124">
        <v>106.37982321069852</v>
      </c>
      <c r="U30" s="124">
        <v>103.27010376069849</v>
      </c>
      <c r="V30" s="124">
        <v>103.27010376069849</v>
      </c>
      <c r="W30" s="124">
        <v>103.27010376069849</v>
      </c>
      <c r="X30" s="124">
        <v>99.201253408558813</v>
      </c>
      <c r="Y30" s="124">
        <v>99.201253408558813</v>
      </c>
      <c r="Z30" s="124">
        <v>99.201253408558813</v>
      </c>
      <c r="AA30" s="124">
        <v>99.201253408558813</v>
      </c>
      <c r="AB30" s="124">
        <v>82.616083008558789</v>
      </c>
      <c r="AC30" s="124">
        <f>AC26-P26</f>
        <v>3615.8982525026645</v>
      </c>
      <c r="AD30" s="124">
        <f>AD26-AC26</f>
        <v>6222.1994830482809</v>
      </c>
      <c r="AE30" s="124">
        <f>AE26-AD26</f>
        <v>13597.901000847009</v>
      </c>
      <c r="AF30" s="124">
        <f>AF26-AE26</f>
        <v>11062.391687908355</v>
      </c>
      <c r="AG30" s="124">
        <f>AG26-AF26</f>
        <v>20069.07939203758</v>
      </c>
      <c r="AH30" s="124">
        <f>AH26-AG26</f>
        <v>20638.790002957088</v>
      </c>
    </row>
    <row r="31" spans="1:35" hidden="1">
      <c r="A31" s="123" t="s">
        <v>157</v>
      </c>
      <c r="P31" s="124">
        <f>(P8+P10+P13+P14)-(C8+C10+C13+C14)</f>
        <v>6890.9406392299097</v>
      </c>
      <c r="AC31" s="124">
        <f>(AC8+AC10+AC13+AC14)-(P8+P10+P13+P14)</f>
        <v>-3304.50997566964</v>
      </c>
      <c r="AD31" s="124">
        <f>(AD8+AD10+AD13+AD14)-(AC8+AC10+AC13+AC14)</f>
        <v>-3586.4306635602697</v>
      </c>
      <c r="AE31" s="124">
        <f>(AE8+AE10+AE13+AE14)-(AD8+AD10+AD13+AD14)</f>
        <v>0</v>
      </c>
      <c r="AF31" s="124">
        <f>(AF8+AF10+AF13+AF14)-(AE8+AE10+AE13+AE14)</f>
        <v>0</v>
      </c>
      <c r="AG31" s="124">
        <f>(AG8+AG10+AG13+AG14)-(AF8+AF10+AF13+AF14)</f>
        <v>0</v>
      </c>
      <c r="AH31" s="124">
        <f>(AH8+AH10+AH13+AH14)-(AG8+AG10+AG13+AG14)</f>
        <v>0</v>
      </c>
    </row>
    <row r="32" spans="1:35" hidden="1">
      <c r="A32" s="123" t="s">
        <v>158</v>
      </c>
      <c r="P32" s="124">
        <f>P9-C9</f>
        <v>652.10030691964278</v>
      </c>
      <c r="AC32" s="124">
        <f>AC9-P9</f>
        <v>0</v>
      </c>
      <c r="AD32" s="124">
        <f>AD9-AC9</f>
        <v>0</v>
      </c>
      <c r="AE32" s="124">
        <f>AE9-AD9</f>
        <v>0</v>
      </c>
      <c r="AF32" s="124">
        <f>AF9-AE9</f>
        <v>0</v>
      </c>
      <c r="AG32" s="124">
        <f>AG9-AF9</f>
        <v>0</v>
      </c>
      <c r="AH32" s="124">
        <f>AH9-AG9</f>
        <v>0</v>
      </c>
    </row>
    <row r="33" spans="1:34" hidden="1">
      <c r="A33" s="123" t="s">
        <v>159</v>
      </c>
      <c r="P33" s="124">
        <f>(P21+P17)-(C21+C17)</f>
        <v>52317.469470501615</v>
      </c>
      <c r="AC33" s="124">
        <f>(AC21+AC17)-(P21+P17)</f>
        <v>-8719.5782450835686</v>
      </c>
      <c r="AD33" s="124">
        <f>(AD21+AD17)-(AC21+AC17)</f>
        <v>-8719.5782450835686</v>
      </c>
      <c r="AE33" s="124">
        <f>(AE21+AE17)-(AD21+AD17)</f>
        <v>-8719.578245083605</v>
      </c>
      <c r="AF33" s="124">
        <f>(AF21+AF17)-(AE21+AE17)</f>
        <v>-8719.5782450836123</v>
      </c>
      <c r="AG33" s="124">
        <f>(AG21+AG17)-(AF21+AF17)</f>
        <v>-8719.5782450836123</v>
      </c>
      <c r="AH33" s="124">
        <f>(AH21+AH17)-(AG21+AG17)</f>
        <v>-8719.5782450836014</v>
      </c>
    </row>
    <row r="34" spans="1:34" hidden="1">
      <c r="A34" s="123" t="s">
        <v>160</v>
      </c>
      <c r="P34" s="124">
        <f>-P31+P32+P33</f>
        <v>46078.629138191347</v>
      </c>
      <c r="Q34" s="124">
        <f t="shared" ref="Q34:AB34" si="17">Q31+Q32+Q33</f>
        <v>0</v>
      </c>
      <c r="R34" s="124">
        <f t="shared" si="17"/>
        <v>0</v>
      </c>
      <c r="S34" s="124">
        <f t="shared" si="17"/>
        <v>0</v>
      </c>
      <c r="T34" s="124">
        <f t="shared" si="17"/>
        <v>0</v>
      </c>
      <c r="U34" s="124">
        <f t="shared" si="17"/>
        <v>0</v>
      </c>
      <c r="V34" s="124">
        <f t="shared" si="17"/>
        <v>0</v>
      </c>
      <c r="W34" s="124">
        <f t="shared" si="17"/>
        <v>0</v>
      </c>
      <c r="X34" s="124">
        <f t="shared" si="17"/>
        <v>0</v>
      </c>
      <c r="Y34" s="124">
        <f t="shared" si="17"/>
        <v>0</v>
      </c>
      <c r="Z34" s="124">
        <f t="shared" si="17"/>
        <v>0</v>
      </c>
      <c r="AA34" s="124">
        <f t="shared" si="17"/>
        <v>0</v>
      </c>
      <c r="AB34" s="124">
        <f t="shared" si="17"/>
        <v>0</v>
      </c>
      <c r="AC34" s="124">
        <f t="shared" ref="AC34:AH34" si="18">-AC31+AC32+AC33</f>
        <v>-5415.0682694139286</v>
      </c>
      <c r="AD34" s="124">
        <f t="shared" si="18"/>
        <v>-5133.1475815232989</v>
      </c>
      <c r="AE34" s="124">
        <f t="shared" si="18"/>
        <v>-8719.578245083605</v>
      </c>
      <c r="AF34" s="124">
        <f t="shared" si="18"/>
        <v>-8719.5782450836123</v>
      </c>
      <c r="AG34" s="124">
        <f t="shared" si="18"/>
        <v>-8719.5782450836123</v>
      </c>
      <c r="AH34" s="124">
        <f t="shared" si="18"/>
        <v>-8719.5782450836014</v>
      </c>
    </row>
    <row r="35" spans="1:34" hidden="1">
      <c r="A35" s="123" t="s">
        <v>84</v>
      </c>
      <c r="P35" s="124">
        <f>'2-ф2'!P13</f>
        <v>1880.2838367571153</v>
      </c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>
        <f>'2-ф2'!AC13</f>
        <v>2507.0451156761537</v>
      </c>
      <c r="AD35" s="124">
        <f>'2-ф2'!AD13</f>
        <v>2507.0451156761537</v>
      </c>
      <c r="AE35" s="124">
        <f>'2-ф2'!AE13</f>
        <v>2507.0451156761537</v>
      </c>
      <c r="AF35" s="124">
        <f>'2-ф2'!AF13</f>
        <v>2507.0451156761537</v>
      </c>
      <c r="AG35" s="124">
        <f>'2-ф2'!AG13</f>
        <v>2507.0451156761537</v>
      </c>
      <c r="AH35" s="124">
        <f>'2-ф2'!AH13</f>
        <v>2507.0451156761537</v>
      </c>
    </row>
    <row r="36" spans="1:34" hidden="1">
      <c r="A36" s="123" t="s">
        <v>161</v>
      </c>
      <c r="P36" s="124">
        <f>-'1-Ф3'!P22</f>
        <v>-76905.716591145843</v>
      </c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>
        <f>-'1-Ф3'!AC22</f>
        <v>0</v>
      </c>
      <c r="AD36" s="124">
        <f>-'1-Ф3'!AD22</f>
        <v>0</v>
      </c>
      <c r="AE36" s="124">
        <f>-'1-Ф3'!AE22</f>
        <v>0</v>
      </c>
      <c r="AF36" s="124">
        <f>-'1-Ф3'!AF22</f>
        <v>0</v>
      </c>
      <c r="AG36" s="124">
        <f>-'1-Ф3'!AG22</f>
        <v>0</v>
      </c>
      <c r="AH36" s="124">
        <f>-'1-Ф3'!AH22</f>
        <v>0</v>
      </c>
    </row>
    <row r="37" spans="1:34" hidden="1">
      <c r="A37" s="123" t="s">
        <v>162</v>
      </c>
      <c r="P37" s="124">
        <f>P30+P34+P35+P36+P25</f>
        <v>-6784.1957105735128</v>
      </c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>
        <f t="shared" ref="AC37:AH37" si="19">AC30+AC34+AC35+AC36</f>
        <v>707.87509876488957</v>
      </c>
      <c r="AD37" s="124">
        <f t="shared" si="19"/>
        <v>3596.0970172011357</v>
      </c>
      <c r="AE37" s="124">
        <f t="shared" si="19"/>
        <v>7385.3678714395573</v>
      </c>
      <c r="AF37" s="124">
        <f t="shared" si="19"/>
        <v>4849.8585585008968</v>
      </c>
      <c r="AG37" s="124">
        <f t="shared" si="19"/>
        <v>13856.546262630121</v>
      </c>
      <c r="AH37" s="124">
        <f t="shared" si="19"/>
        <v>14426.256873549641</v>
      </c>
    </row>
    <row r="38" spans="1:34" hidden="1"/>
    <row r="39" spans="1:34" hidden="1">
      <c r="A39" s="123" t="s">
        <v>168</v>
      </c>
      <c r="P39" s="124">
        <f>'1-Ф3'!P35</f>
        <v>151.50188178136887</v>
      </c>
      <c r="AC39" s="124">
        <f>'1-Ф3'!AC35</f>
        <v>707.87509876485638</v>
      </c>
      <c r="AD39" s="124">
        <f>'1-Ф3'!AD35</f>
        <v>3596.0970172011075</v>
      </c>
      <c r="AE39" s="124">
        <f>'1-Ф3'!AE35</f>
        <v>7385.367871439561</v>
      </c>
      <c r="AF39" s="124">
        <f>'1-Ф3'!AF35</f>
        <v>4849.8585585009023</v>
      </c>
      <c r="AG39" s="124">
        <f>'1-Ф3'!AG35</f>
        <v>13856.546262630131</v>
      </c>
      <c r="AH39" s="124">
        <f>'1-Ф3'!AH35</f>
        <v>14426.256873549635</v>
      </c>
    </row>
    <row r="40" spans="1:34" hidden="1">
      <c r="A40" s="140" t="s">
        <v>156</v>
      </c>
      <c r="B40" s="141"/>
      <c r="C40" s="142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>
        <f>P39-P37</f>
        <v>6935.6975923548816</v>
      </c>
      <c r="Q40" s="143">
        <f t="shared" ref="Q40:AB40" si="20">Q39-Q37</f>
        <v>0</v>
      </c>
      <c r="R40" s="143">
        <f t="shared" si="20"/>
        <v>0</v>
      </c>
      <c r="S40" s="143">
        <f t="shared" si="20"/>
        <v>0</v>
      </c>
      <c r="T40" s="143">
        <f t="shared" si="20"/>
        <v>0</v>
      </c>
      <c r="U40" s="143">
        <f t="shared" si="20"/>
        <v>0</v>
      </c>
      <c r="V40" s="143">
        <f t="shared" si="20"/>
        <v>0</v>
      </c>
      <c r="W40" s="143">
        <f t="shared" si="20"/>
        <v>0</v>
      </c>
      <c r="X40" s="143">
        <f t="shared" si="20"/>
        <v>0</v>
      </c>
      <c r="Y40" s="143">
        <f t="shared" si="20"/>
        <v>0</v>
      </c>
      <c r="Z40" s="143">
        <f t="shared" si="20"/>
        <v>0</v>
      </c>
      <c r="AA40" s="143">
        <f t="shared" si="20"/>
        <v>0</v>
      </c>
      <c r="AB40" s="143">
        <f t="shared" si="20"/>
        <v>0</v>
      </c>
      <c r="AC40" s="143">
        <f t="shared" ref="AC40:AH40" si="21">AC39-AC37</f>
        <v>-3.3196556614711881E-11</v>
      </c>
      <c r="AD40" s="143">
        <f t="shared" si="21"/>
        <v>-2.8194335754960775E-11</v>
      </c>
      <c r="AE40" s="143">
        <f t="shared" si="21"/>
        <v>0</v>
      </c>
      <c r="AF40" s="143">
        <f t="shared" si="21"/>
        <v>0</v>
      </c>
      <c r="AG40" s="143">
        <f t="shared" si="21"/>
        <v>0</v>
      </c>
      <c r="AH40" s="143">
        <f t="shared" si="21"/>
        <v>0</v>
      </c>
    </row>
  </sheetData>
  <mergeCells count="4">
    <mergeCell ref="A3:A4"/>
    <mergeCell ref="B3:B4"/>
    <mergeCell ref="D3:P3"/>
    <mergeCell ref="Q3:AC3"/>
  </mergeCells>
  <pageMargins left="0.35433070866141736" right="0.23622047244094491" top="0.78740157480314965" bottom="0.23622047244094491" header="0.4" footer="0.15748031496062992"/>
  <pageSetup paperSize="9" orientation="landscape" r:id="rId1"/>
  <headerFooter alignWithMargins="0">
    <oddHeader>&amp;RПриложение 3</oddHeader>
  </headerFooter>
  <picture r:id="rId2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J39"/>
  <sheetViews>
    <sheetView showGridLines="0" zoomScaleNormal="100" workbookViewId="0">
      <pane ySplit="3" topLeftCell="A7" activePane="bottomLeft" state="frozen"/>
      <selection activeCell="A34" sqref="A34"/>
      <selection pane="bottomLeft" activeCell="G14" sqref="G14"/>
    </sheetView>
  </sheetViews>
  <sheetFormatPr defaultRowHeight="12.75"/>
  <cols>
    <col min="1" max="1" width="30.7109375" style="78" customWidth="1"/>
    <col min="2" max="2" width="14.7109375" style="78" customWidth="1"/>
    <col min="3" max="3" width="11.5703125" style="78" customWidth="1"/>
    <col min="4" max="4" width="2.140625" style="78" customWidth="1"/>
    <col min="5" max="5" width="37.5703125" style="78" customWidth="1"/>
    <col min="6" max="8" width="9.140625" style="78"/>
    <col min="9" max="9" width="33" style="78" customWidth="1"/>
    <col min="10" max="13" width="9.140625" style="78"/>
    <col min="14" max="14" width="14.42578125" style="78" customWidth="1"/>
    <col min="15" max="16384" width="9.140625" style="78"/>
  </cols>
  <sheetData>
    <row r="1" spans="1:8" ht="15.75" customHeight="1">
      <c r="A1" s="371" t="s">
        <v>43</v>
      </c>
      <c r="B1" s="371"/>
      <c r="C1" s="371"/>
    </row>
    <row r="2" spans="1:8" ht="12" customHeight="1">
      <c r="A2" s="62"/>
      <c r="G2" s="333">
        <f>'1-Ф3'!B36</f>
        <v>44973.503563867591</v>
      </c>
      <c r="H2" s="333">
        <f>'1-Ф3'!B2</f>
        <v>0</v>
      </c>
    </row>
    <row r="3" spans="1:8">
      <c r="A3" s="79" t="s">
        <v>31</v>
      </c>
      <c r="B3" s="80" t="s">
        <v>44</v>
      </c>
      <c r="C3" s="80" t="s">
        <v>9</v>
      </c>
    </row>
    <row r="4" spans="1:8">
      <c r="A4" s="62" t="s">
        <v>171</v>
      </c>
    </row>
    <row r="5" spans="1:8">
      <c r="A5" s="81" t="s">
        <v>115</v>
      </c>
      <c r="B5" s="81"/>
      <c r="C5" s="149">
        <v>148</v>
      </c>
    </row>
    <row r="6" spans="1:8">
      <c r="A6" s="81" t="s">
        <v>181</v>
      </c>
      <c r="B6" s="81"/>
      <c r="C6" s="253">
        <v>5</v>
      </c>
    </row>
    <row r="7" spans="1:8">
      <c r="A7" s="81" t="s">
        <v>80</v>
      </c>
      <c r="B7" s="81"/>
      <c r="C7" s="163">
        <f>18%*C8+C32*(1-C19)*(1-C8)</f>
        <v>0.10577</v>
      </c>
      <c r="E7" s="78" t="s">
        <v>182</v>
      </c>
    </row>
    <row r="8" spans="1:8">
      <c r="A8" s="81" t="s">
        <v>337</v>
      </c>
      <c r="B8" s="81"/>
      <c r="C8" s="84">
        <v>0.35</v>
      </c>
    </row>
    <row r="9" spans="1:8">
      <c r="A9" s="81" t="s">
        <v>163</v>
      </c>
      <c r="B9" s="81"/>
      <c r="C9" s="85" t="s">
        <v>65</v>
      </c>
    </row>
    <row r="10" spans="1:8">
      <c r="A10" s="62" t="s">
        <v>164</v>
      </c>
    </row>
    <row r="11" spans="1:8">
      <c r="A11" s="81" t="s">
        <v>52</v>
      </c>
      <c r="B11" s="83" t="s">
        <v>46</v>
      </c>
      <c r="C11" s="84">
        <v>0.1</v>
      </c>
    </row>
    <row r="12" spans="1:8">
      <c r="A12" s="81" t="s">
        <v>57</v>
      </c>
      <c r="B12" s="83" t="s">
        <v>46</v>
      </c>
      <c r="C12" s="84">
        <v>0.05</v>
      </c>
    </row>
    <row r="13" spans="1:8">
      <c r="A13" s="81" t="s">
        <v>53</v>
      </c>
      <c r="B13" s="83" t="s">
        <v>46</v>
      </c>
      <c r="C13" s="84">
        <v>0.1</v>
      </c>
    </row>
    <row r="14" spans="1:8">
      <c r="A14" s="81" t="s">
        <v>55</v>
      </c>
      <c r="B14" s="83" t="s">
        <v>46</v>
      </c>
      <c r="C14" s="84">
        <v>0.11</v>
      </c>
      <c r="E14" s="78" t="s">
        <v>384</v>
      </c>
    </row>
    <row r="15" spans="1:8">
      <c r="A15" s="81" t="s">
        <v>128</v>
      </c>
      <c r="B15" s="83" t="s">
        <v>65</v>
      </c>
      <c r="C15" s="86">
        <v>15.999000000000001</v>
      </c>
    </row>
    <row r="16" spans="1:8">
      <c r="A16" s="81" t="s">
        <v>2</v>
      </c>
      <c r="B16" s="83"/>
      <c r="C16" s="258">
        <f>1.5%*0.3</f>
        <v>4.4999999999999997E-3</v>
      </c>
      <c r="E16" s="78" t="s">
        <v>384</v>
      </c>
    </row>
    <row r="17" spans="1:5">
      <c r="A17" s="81" t="s">
        <v>45</v>
      </c>
      <c r="B17" s="83" t="s">
        <v>46</v>
      </c>
      <c r="C17" s="84">
        <v>0.12</v>
      </c>
    </row>
    <row r="18" spans="1:5">
      <c r="A18" s="81" t="s">
        <v>67</v>
      </c>
      <c r="B18" s="81"/>
      <c r="C18" s="82">
        <v>1.1200000000000001</v>
      </c>
    </row>
    <row r="19" spans="1:5">
      <c r="A19" s="81" t="s">
        <v>64</v>
      </c>
      <c r="B19" s="81"/>
      <c r="C19" s="84">
        <f>20%*0.3</f>
        <v>0.06</v>
      </c>
      <c r="E19" s="78" t="s">
        <v>384</v>
      </c>
    </row>
    <row r="20" spans="1:5">
      <c r="A20" s="62" t="s">
        <v>170</v>
      </c>
    </row>
    <row r="21" spans="1:5">
      <c r="A21" s="81" t="s">
        <v>287</v>
      </c>
      <c r="B21" s="83" t="s">
        <v>288</v>
      </c>
      <c r="C21" s="149">
        <v>650</v>
      </c>
      <c r="E21" s="78" t="s">
        <v>356</v>
      </c>
    </row>
    <row r="22" spans="1:5">
      <c r="A22" s="81" t="s">
        <v>289</v>
      </c>
      <c r="B22" s="83" t="s">
        <v>46</v>
      </c>
      <c r="C22" s="256">
        <v>0.56999999999999995</v>
      </c>
    </row>
    <row r="23" spans="1:5">
      <c r="A23" s="81" t="s">
        <v>261</v>
      </c>
      <c r="B23" s="83" t="s">
        <v>46</v>
      </c>
      <c r="C23" s="256">
        <f>1/3</f>
        <v>0.33333333333333331</v>
      </c>
    </row>
    <row r="24" spans="1:5">
      <c r="A24" s="81" t="s">
        <v>298</v>
      </c>
      <c r="B24" s="83" t="s">
        <v>46</v>
      </c>
      <c r="C24" s="256">
        <v>0.9</v>
      </c>
    </row>
    <row r="25" spans="1:5" ht="25.5">
      <c r="A25" s="170" t="s">
        <v>290</v>
      </c>
      <c r="B25" s="83" t="s">
        <v>46</v>
      </c>
      <c r="C25" s="256">
        <v>0.5</v>
      </c>
    </row>
    <row r="26" spans="1:5">
      <c r="A26" s="170" t="s">
        <v>291</v>
      </c>
      <c r="B26" s="83" t="s">
        <v>46</v>
      </c>
      <c r="C26" s="163">
        <f>1-C25</f>
        <v>0.5</v>
      </c>
      <c r="D26" s="257"/>
    </row>
    <row r="27" spans="1:5">
      <c r="A27" s="81" t="s">
        <v>292</v>
      </c>
      <c r="B27" s="83" t="s">
        <v>293</v>
      </c>
      <c r="C27" s="149">
        <f>19.4*30*10</f>
        <v>5820</v>
      </c>
      <c r="E27" s="78" t="s">
        <v>356</v>
      </c>
    </row>
    <row r="28" spans="1:5" ht="25.5">
      <c r="A28" s="170" t="s">
        <v>294</v>
      </c>
      <c r="B28" s="229" t="s">
        <v>295</v>
      </c>
      <c r="C28" s="230">
        <v>50</v>
      </c>
    </row>
    <row r="29" spans="1:5" ht="25.5">
      <c r="A29" s="170" t="s">
        <v>296</v>
      </c>
      <c r="B29" s="229" t="s">
        <v>295</v>
      </c>
      <c r="C29" s="230">
        <v>2</v>
      </c>
    </row>
    <row r="30" spans="1:5">
      <c r="A30" s="170" t="s">
        <v>297</v>
      </c>
      <c r="B30" s="229" t="s">
        <v>295</v>
      </c>
      <c r="C30" s="337">
        <f>MAX(Производство!E1:L1)</f>
        <v>190.48151041666671</v>
      </c>
      <c r="E30" s="208"/>
    </row>
    <row r="31" spans="1:5">
      <c r="A31" s="62" t="s">
        <v>172</v>
      </c>
    </row>
    <row r="32" spans="1:5">
      <c r="A32" s="81" t="s">
        <v>62</v>
      </c>
      <c r="B32" s="83" t="s">
        <v>46</v>
      </c>
      <c r="C32" s="84">
        <v>7.0000000000000007E-2</v>
      </c>
    </row>
    <row r="33" spans="1:10">
      <c r="A33" s="81" t="s">
        <v>173</v>
      </c>
      <c r="B33" s="83" t="s">
        <v>174</v>
      </c>
      <c r="C33" s="253">
        <v>7</v>
      </c>
    </row>
    <row r="34" spans="1:10">
      <c r="A34" s="81" t="s">
        <v>175</v>
      </c>
      <c r="B34" s="83" t="s">
        <v>177</v>
      </c>
      <c r="C34" s="149">
        <v>9</v>
      </c>
    </row>
    <row r="35" spans="1:10">
      <c r="A35" s="81" t="s">
        <v>176</v>
      </c>
      <c r="B35" s="83" t="s">
        <v>177</v>
      </c>
      <c r="C35" s="149">
        <v>9</v>
      </c>
    </row>
    <row r="37" spans="1:10">
      <c r="A37" s="62" t="s">
        <v>235</v>
      </c>
      <c r="J37" s="151" t="s">
        <v>338</v>
      </c>
    </row>
    <row r="38" spans="1:10" ht="25.5">
      <c r="A38" s="81" t="s">
        <v>308</v>
      </c>
      <c r="B38" s="83" t="s">
        <v>317</v>
      </c>
      <c r="C38" s="329">
        <v>80</v>
      </c>
      <c r="E38" s="351" t="s">
        <v>358</v>
      </c>
      <c r="J38" s="336">
        <f>C38*$C$18</f>
        <v>89.600000000000009</v>
      </c>
    </row>
    <row r="39" spans="1:10" ht="25.5">
      <c r="A39" s="81" t="s">
        <v>316</v>
      </c>
      <c r="B39" s="83" t="s">
        <v>318</v>
      </c>
      <c r="C39" s="329">
        <v>817</v>
      </c>
      <c r="E39" s="351" t="s">
        <v>357</v>
      </c>
      <c r="J39" s="336">
        <f>C39*$C$18</f>
        <v>915.04000000000008</v>
      </c>
    </row>
  </sheetData>
  <mergeCells count="1">
    <mergeCell ref="A1:C1"/>
  </mergeCells>
  <phoneticPr fontId="3" type="noConversion"/>
  <pageMargins left="0.26" right="0.5" top="1" bottom="1" header="0.5" footer="0.5"/>
  <pageSetup paperSize="9" orientation="portrait" r:id="rId1"/>
  <headerFooter alignWithMargins="0"/>
  <picture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I7"/>
  <sheetViews>
    <sheetView showGridLines="0" workbookViewId="0">
      <pane ySplit="4" topLeftCell="A5" activePane="bottomLeft" state="frozen"/>
      <selection activeCell="C8" sqref="C8"/>
      <selection pane="bottomLeft" activeCell="A2" sqref="A2"/>
    </sheetView>
  </sheetViews>
  <sheetFormatPr defaultColWidth="8.85546875" defaultRowHeight="12.75"/>
  <cols>
    <col min="1" max="1" width="29.7109375" style="78" customWidth="1"/>
    <col min="2" max="2" width="13.28515625" style="78" customWidth="1"/>
    <col min="3" max="7" width="8.85546875" style="78" customWidth="1"/>
    <col min="8" max="16384" width="8.85546875" style="78"/>
  </cols>
  <sheetData>
    <row r="1" spans="1:9">
      <c r="A1" s="62" t="s">
        <v>355</v>
      </c>
    </row>
    <row r="2" spans="1:9">
      <c r="A2" s="62"/>
    </row>
    <row r="3" spans="1:9">
      <c r="A3" s="78" t="s">
        <v>47</v>
      </c>
      <c r="C3" s="144"/>
      <c r="D3" s="144"/>
      <c r="E3" s="144"/>
      <c r="F3" s="144"/>
      <c r="G3" s="144"/>
    </row>
    <row r="4" spans="1:9" ht="25.5">
      <c r="A4" s="331" t="s">
        <v>105</v>
      </c>
      <c r="B4" s="332" t="s">
        <v>336</v>
      </c>
      <c r="C4" s="321">
        <v>2012</v>
      </c>
      <c r="D4" s="321">
        <f t="shared" ref="D4:I4" si="0">C4+1</f>
        <v>2013</v>
      </c>
      <c r="E4" s="321">
        <f t="shared" si="0"/>
        <v>2014</v>
      </c>
      <c r="F4" s="321">
        <f t="shared" si="0"/>
        <v>2015</v>
      </c>
      <c r="G4" s="321">
        <f t="shared" si="0"/>
        <v>2016</v>
      </c>
      <c r="H4" s="321">
        <f t="shared" si="0"/>
        <v>2017</v>
      </c>
      <c r="I4" s="321">
        <f t="shared" si="0"/>
        <v>2018</v>
      </c>
    </row>
    <row r="5" spans="1:9">
      <c r="A5" s="81" t="s">
        <v>319</v>
      </c>
      <c r="B5" s="249" t="s">
        <v>334</v>
      </c>
      <c r="C5" s="150">
        <f>Производство!E75*Исх!$C$38/1000</f>
        <v>20952</v>
      </c>
      <c r="D5" s="150">
        <f>Производство!F75*Исх!$C$38/1000</f>
        <v>20952</v>
      </c>
      <c r="E5" s="150">
        <f>Производство!G75*Исх!$C$38/1000</f>
        <v>23396.400000000001</v>
      </c>
      <c r="F5" s="150">
        <f>Производство!H75*Исх!$C$38/1000</f>
        <v>25840.800000000003</v>
      </c>
      <c r="G5" s="150">
        <f>Производство!I75*Исх!$C$38/1000</f>
        <v>26242.380000000008</v>
      </c>
      <c r="H5" s="150">
        <f>Производство!J75*Исх!$C$38/1000</f>
        <v>31585.140000000014</v>
      </c>
      <c r="I5" s="150">
        <f>Производство!K75*Исх!$C$38/1000</f>
        <v>33127.731000000014</v>
      </c>
    </row>
    <row r="6" spans="1:9">
      <c r="A6" s="81" t="s">
        <v>320</v>
      </c>
      <c r="B6" s="249" t="s">
        <v>335</v>
      </c>
      <c r="C6" s="150">
        <f>Производство!F80*Исх!$C$39/1000*0</f>
        <v>0</v>
      </c>
      <c r="D6" s="150">
        <f>Производство!G80*Исх!$C$39/1000</f>
        <v>11855.69125</v>
      </c>
      <c r="E6" s="150">
        <f>Производство!H80*Исх!$C$39/1000</f>
        <v>12650.2748125</v>
      </c>
      <c r="F6" s="150">
        <f>Производство!I80*Исх!$C$39/1000</f>
        <v>15715.097125</v>
      </c>
      <c r="G6" s="150">
        <f>Производство!J80*Исх!$C$39/1000</f>
        <v>13070.899603125001</v>
      </c>
      <c r="H6" s="150">
        <f>Производство!K80*Исх!$C$39/1000</f>
        <v>17683.267996875002</v>
      </c>
      <c r="I6" s="150">
        <f>Производство!L80*Исх!$C$39/1000</f>
        <v>17579.30998078125</v>
      </c>
    </row>
    <row r="7" spans="1:9">
      <c r="A7" s="159" t="s">
        <v>96</v>
      </c>
      <c r="B7" s="159"/>
      <c r="C7" s="158">
        <f t="shared" ref="C7:I7" si="1">SUM(C5:C6)</f>
        <v>20952</v>
      </c>
      <c r="D7" s="158">
        <f t="shared" si="1"/>
        <v>32807.691250000003</v>
      </c>
      <c r="E7" s="158">
        <f t="shared" si="1"/>
        <v>36046.674812500001</v>
      </c>
      <c r="F7" s="158">
        <f t="shared" si="1"/>
        <v>41555.897125000003</v>
      </c>
      <c r="G7" s="158">
        <f t="shared" si="1"/>
        <v>39313.279603125011</v>
      </c>
      <c r="H7" s="158">
        <f t="shared" si="1"/>
        <v>49268.407996875016</v>
      </c>
      <c r="I7" s="158">
        <f t="shared" si="1"/>
        <v>50707.040980781268</v>
      </c>
    </row>
  </sheetData>
  <phoneticPr fontId="3" type="noConversion"/>
  <pageMargins left="0.49" right="0.18" top="0.3" bottom="2.11" header="0.2" footer="0.3"/>
  <pageSetup paperSize="9" orientation="landscape" r:id="rId1"/>
  <headerFooter alignWithMargins="0"/>
  <picture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N29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10" sqref="L10"/>
    </sheetView>
  </sheetViews>
  <sheetFormatPr defaultColWidth="8.85546875" defaultRowHeight="12.75"/>
  <cols>
    <col min="1" max="1" width="42.42578125" style="78" customWidth="1"/>
    <col min="2" max="2" width="10.28515625" style="78" customWidth="1"/>
    <col min="3" max="3" width="9.140625" style="78" customWidth="1"/>
    <col min="4" max="4" width="11.28515625" style="78" customWidth="1"/>
    <col min="5" max="7" width="10.7109375" style="78" customWidth="1"/>
    <col min="8" max="16384" width="8.85546875" style="78"/>
  </cols>
  <sheetData>
    <row r="1" spans="1:14">
      <c r="A1" s="62" t="s">
        <v>306</v>
      </c>
      <c r="B1" s="62"/>
    </row>
    <row r="2" spans="1:14" ht="7.5" customHeight="1">
      <c r="A2" s="62"/>
      <c r="B2" s="62"/>
    </row>
    <row r="3" spans="1:14">
      <c r="A3" s="78" t="s">
        <v>47</v>
      </c>
      <c r="M3" s="333">
        <f>'1-Ф3'!B36</f>
        <v>44973.503563867591</v>
      </c>
      <c r="N3" s="333">
        <f>'1-Ф3'!B2</f>
        <v>0</v>
      </c>
    </row>
    <row r="4" spans="1:14" ht="25.5">
      <c r="A4" s="317" t="s">
        <v>280</v>
      </c>
      <c r="B4" s="318" t="s">
        <v>242</v>
      </c>
      <c r="C4" s="318" t="s">
        <v>360</v>
      </c>
      <c r="D4" s="318" t="s">
        <v>361</v>
      </c>
      <c r="E4" s="321">
        <v>2012</v>
      </c>
      <c r="F4" s="321">
        <f t="shared" ref="F4:K4" si="0">E4+1</f>
        <v>2013</v>
      </c>
      <c r="G4" s="321">
        <f t="shared" si="0"/>
        <v>2014</v>
      </c>
      <c r="H4" s="321">
        <f t="shared" si="0"/>
        <v>2015</v>
      </c>
      <c r="I4" s="321">
        <f t="shared" si="0"/>
        <v>2016</v>
      </c>
      <c r="J4" s="321">
        <f t="shared" si="0"/>
        <v>2017</v>
      </c>
      <c r="K4" s="321">
        <f t="shared" si="0"/>
        <v>2018</v>
      </c>
    </row>
    <row r="5" spans="1:14" ht="12.75" customHeight="1">
      <c r="A5" s="326" t="s">
        <v>314</v>
      </c>
      <c r="B5" s="271" t="s">
        <v>295</v>
      </c>
      <c r="C5" s="327"/>
      <c r="D5" s="327"/>
      <c r="E5" s="347">
        <f>Производство!E65</f>
        <v>52</v>
      </c>
      <c r="F5" s="347">
        <f>Производство!F65</f>
        <v>52</v>
      </c>
      <c r="G5" s="347">
        <f>Производство!G65</f>
        <v>54.916666666666671</v>
      </c>
      <c r="H5" s="347">
        <f>Производство!H65</f>
        <v>59.291666666666671</v>
      </c>
      <c r="I5" s="347">
        <f>Производство!I65</f>
        <v>61.958333333333343</v>
      </c>
      <c r="J5" s="347">
        <f>Производство!J65</f>
        <v>69.666666666666686</v>
      </c>
      <c r="K5" s="347">
        <f>Производство!K65</f>
        <v>75.36145833333336</v>
      </c>
    </row>
    <row r="6" spans="1:14">
      <c r="A6" s="81" t="s">
        <v>281</v>
      </c>
      <c r="B6" s="83" t="s">
        <v>65</v>
      </c>
      <c r="C6" s="253">
        <f>11*0.75/1.12</f>
        <v>7.3660714285714279</v>
      </c>
      <c r="D6" s="253">
        <f>10.5*1.5/10</f>
        <v>1.575</v>
      </c>
      <c r="E6" s="150">
        <f>$C6*$D6*E$5</f>
        <v>603.28124999999989</v>
      </c>
      <c r="F6" s="150">
        <f t="shared" ref="F6:K10" si="1">$C6*$D6*F$5</f>
        <v>603.28124999999989</v>
      </c>
      <c r="G6" s="150">
        <f t="shared" si="1"/>
        <v>637.119140625</v>
      </c>
      <c r="H6" s="150">
        <f t="shared" si="1"/>
        <v>687.8759765625</v>
      </c>
      <c r="I6" s="150">
        <f t="shared" si="1"/>
        <v>718.8134765625</v>
      </c>
      <c r="J6" s="150">
        <f t="shared" si="1"/>
        <v>808.24218750000011</v>
      </c>
      <c r="K6" s="150">
        <f t="shared" si="1"/>
        <v>874.31066894531273</v>
      </c>
      <c r="L6" s="78" t="s">
        <v>282</v>
      </c>
    </row>
    <row r="7" spans="1:14">
      <c r="A7" s="170" t="s">
        <v>283</v>
      </c>
      <c r="B7" s="83" t="s">
        <v>65</v>
      </c>
      <c r="C7" s="253">
        <f>C6/2</f>
        <v>3.683035714285714</v>
      </c>
      <c r="D7" s="253">
        <f>5.3*1.5/10</f>
        <v>0.79499999999999993</v>
      </c>
      <c r="E7" s="150">
        <f>$C7*$D7*E$5</f>
        <v>152.25669642857139</v>
      </c>
      <c r="F7" s="150">
        <f t="shared" si="1"/>
        <v>152.25669642857139</v>
      </c>
      <c r="G7" s="150">
        <f t="shared" si="1"/>
        <v>160.79673549107142</v>
      </c>
      <c r="H7" s="150">
        <f t="shared" si="1"/>
        <v>173.60679408482142</v>
      </c>
      <c r="I7" s="150">
        <f t="shared" si="1"/>
        <v>181.41482979910714</v>
      </c>
      <c r="J7" s="150">
        <f t="shared" si="1"/>
        <v>203.98493303571431</v>
      </c>
      <c r="K7" s="150">
        <f t="shared" si="1"/>
        <v>220.65935930524557</v>
      </c>
    </row>
    <row r="8" spans="1:14">
      <c r="A8" s="81" t="s">
        <v>284</v>
      </c>
      <c r="B8" s="83" t="s">
        <v>65</v>
      </c>
      <c r="C8" s="253">
        <f>23*0.75/1.12</f>
        <v>15.401785714285714</v>
      </c>
      <c r="D8" s="253">
        <f>5.6*1.5/10</f>
        <v>0.83999999999999986</v>
      </c>
      <c r="E8" s="150">
        <f>$C8*$D8*E$5</f>
        <v>672.74999999999977</v>
      </c>
      <c r="F8" s="150">
        <f t="shared" si="1"/>
        <v>672.74999999999977</v>
      </c>
      <c r="G8" s="150">
        <f t="shared" si="1"/>
        <v>710.48437499999989</v>
      </c>
      <c r="H8" s="150">
        <f t="shared" si="1"/>
        <v>767.08593749999989</v>
      </c>
      <c r="I8" s="150">
        <f t="shared" si="1"/>
        <v>801.58593749999989</v>
      </c>
      <c r="J8" s="150">
        <f t="shared" si="1"/>
        <v>901.3125</v>
      </c>
      <c r="K8" s="150">
        <f t="shared" si="1"/>
        <v>974.98886718750009</v>
      </c>
    </row>
    <row r="9" spans="1:14">
      <c r="A9" s="81" t="s">
        <v>362</v>
      </c>
      <c r="B9" s="83" t="s">
        <v>65</v>
      </c>
      <c r="C9" s="253">
        <f>24*0.75/1.12</f>
        <v>16.071428571428569</v>
      </c>
      <c r="D9" s="253">
        <f>9.6/2/10</f>
        <v>0.48</v>
      </c>
      <c r="E9" s="150">
        <f>$C9*$D9*E$5</f>
        <v>401.14285714285705</v>
      </c>
      <c r="F9" s="150">
        <f t="shared" si="1"/>
        <v>401.14285714285705</v>
      </c>
      <c r="G9" s="150">
        <f t="shared" si="1"/>
        <v>423.64285714285711</v>
      </c>
      <c r="H9" s="150">
        <f t="shared" si="1"/>
        <v>457.39285714285705</v>
      </c>
      <c r="I9" s="150">
        <f t="shared" si="1"/>
        <v>477.96428571428567</v>
      </c>
      <c r="J9" s="150">
        <f t="shared" si="1"/>
        <v>537.42857142857144</v>
      </c>
      <c r="K9" s="150">
        <f t="shared" si="1"/>
        <v>581.35982142857154</v>
      </c>
    </row>
    <row r="10" spans="1:14">
      <c r="A10" s="81" t="s">
        <v>363</v>
      </c>
      <c r="B10" s="83" t="s">
        <v>65</v>
      </c>
      <c r="C10" s="253">
        <f>25*Исх!C6</f>
        <v>125</v>
      </c>
      <c r="D10" s="338">
        <f>0.2*1.5/10</f>
        <v>3.0000000000000006E-2</v>
      </c>
      <c r="E10" s="150">
        <f>$C10*$D10*E$5</f>
        <v>195.00000000000006</v>
      </c>
      <c r="F10" s="150">
        <f t="shared" si="1"/>
        <v>195.00000000000006</v>
      </c>
      <c r="G10" s="150">
        <f t="shared" si="1"/>
        <v>205.93750000000006</v>
      </c>
      <c r="H10" s="150">
        <f t="shared" si="1"/>
        <v>222.34375000000006</v>
      </c>
      <c r="I10" s="150">
        <f t="shared" si="1"/>
        <v>232.34375000000009</v>
      </c>
      <c r="J10" s="150">
        <f t="shared" si="1"/>
        <v>261.25000000000011</v>
      </c>
      <c r="K10" s="150">
        <f t="shared" si="1"/>
        <v>282.60546875000017</v>
      </c>
      <c r="L10" t="s">
        <v>364</v>
      </c>
    </row>
    <row r="11" spans="1:14">
      <c r="A11" s="159" t="s">
        <v>0</v>
      </c>
      <c r="B11" s="319" t="s">
        <v>65</v>
      </c>
      <c r="C11" s="328"/>
      <c r="D11" s="328"/>
      <c r="E11" s="324">
        <f>SUM(E6:E10)</f>
        <v>2024.4308035714282</v>
      </c>
      <c r="F11" s="324">
        <f t="shared" ref="F11:K11" si="2">SUM(F6:F10)</f>
        <v>2024.4308035714282</v>
      </c>
      <c r="G11" s="324">
        <f t="shared" si="2"/>
        <v>2137.9806082589284</v>
      </c>
      <c r="H11" s="324">
        <f t="shared" si="2"/>
        <v>2308.3053152901784</v>
      </c>
      <c r="I11" s="324">
        <f t="shared" si="2"/>
        <v>2412.1222795758927</v>
      </c>
      <c r="J11" s="324">
        <f t="shared" si="2"/>
        <v>2712.2181919642858</v>
      </c>
      <c r="K11" s="324">
        <f t="shared" si="2"/>
        <v>2933.92418561663</v>
      </c>
    </row>
    <row r="12" spans="1:14" ht="12.75" customHeight="1">
      <c r="A12" s="326" t="s">
        <v>315</v>
      </c>
      <c r="B12" s="271" t="s">
        <v>295</v>
      </c>
      <c r="C12" s="327"/>
      <c r="D12" s="327"/>
      <c r="E12" s="347">
        <f>Производство!E66</f>
        <v>45</v>
      </c>
      <c r="F12" s="347">
        <f>Производство!F66</f>
        <v>56.25</v>
      </c>
      <c r="G12" s="347">
        <f>Производство!G66</f>
        <v>64.5</v>
      </c>
      <c r="H12" s="347">
        <f>Производство!H66</f>
        <v>72.5625</v>
      </c>
      <c r="I12" s="347">
        <f>Производство!I66</f>
        <v>78.337500000000006</v>
      </c>
      <c r="J12" s="347">
        <f>Производство!J66</f>
        <v>87.178124999999994</v>
      </c>
      <c r="K12" s="347">
        <f>Производство!K66</f>
        <v>96.123750000000001</v>
      </c>
    </row>
    <row r="13" spans="1:14">
      <c r="A13" s="81" t="s">
        <v>281</v>
      </c>
      <c r="B13" s="83" t="s">
        <v>65</v>
      </c>
      <c r="C13" s="299">
        <f>C6</f>
        <v>7.3660714285714279</v>
      </c>
      <c r="D13" s="299">
        <f>D6/3</f>
        <v>0.52500000000000002</v>
      </c>
      <c r="E13" s="150">
        <f>$C13*$D13*E$12</f>
        <v>174.0234375</v>
      </c>
      <c r="F13" s="150">
        <f t="shared" ref="F13:K13" si="3">$C13*$D13*F$12</f>
        <v>217.529296875</v>
      </c>
      <c r="G13" s="150">
        <f t="shared" si="3"/>
        <v>249.43359375</v>
      </c>
      <c r="H13" s="150">
        <f t="shared" si="3"/>
        <v>280.61279296875</v>
      </c>
      <c r="I13" s="150">
        <f t="shared" si="3"/>
        <v>302.94580078125</v>
      </c>
      <c r="J13" s="150">
        <f t="shared" si="3"/>
        <v>337.1341552734375</v>
      </c>
      <c r="K13" s="150">
        <f t="shared" si="3"/>
        <v>371.72856445312499</v>
      </c>
      <c r="L13" s="78" t="s">
        <v>282</v>
      </c>
    </row>
    <row r="14" spans="1:14">
      <c r="A14" s="170" t="s">
        <v>283</v>
      </c>
      <c r="B14" s="83" t="s">
        <v>65</v>
      </c>
      <c r="C14" s="299">
        <f>C7</f>
        <v>3.683035714285714</v>
      </c>
      <c r="D14" s="299">
        <f t="shared" ref="D14:D17" si="4">D7/3</f>
        <v>0.26499999999999996</v>
      </c>
      <c r="E14" s="150">
        <f t="shared" ref="E14:K17" si="5">$C14*$D14*E$12</f>
        <v>43.920200892857132</v>
      </c>
      <c r="F14" s="150">
        <f>$C14*$D14*F$12</f>
        <v>54.900251116071416</v>
      </c>
      <c r="G14" s="150">
        <f t="shared" si="5"/>
        <v>62.952287946428555</v>
      </c>
      <c r="H14" s="150">
        <f t="shared" si="5"/>
        <v>70.821323939732125</v>
      </c>
      <c r="I14" s="150">
        <f t="shared" si="5"/>
        <v>76.457749720982136</v>
      </c>
      <c r="J14" s="150">
        <f t="shared" si="5"/>
        <v>85.086239188058016</v>
      </c>
      <c r="K14" s="150">
        <f t="shared" si="5"/>
        <v>93.817209123883913</v>
      </c>
    </row>
    <row r="15" spans="1:14">
      <c r="A15" s="81" t="s">
        <v>284</v>
      </c>
      <c r="B15" s="83" t="s">
        <v>65</v>
      </c>
      <c r="C15" s="299">
        <f t="shared" ref="C15:C17" si="6">C8</f>
        <v>15.401785714285714</v>
      </c>
      <c r="D15" s="299">
        <f t="shared" si="4"/>
        <v>0.27999999999999997</v>
      </c>
      <c r="E15" s="150">
        <f t="shared" si="5"/>
        <v>194.06249999999997</v>
      </c>
      <c r="F15" s="150">
        <f t="shared" si="5"/>
        <v>242.57812499999994</v>
      </c>
      <c r="G15" s="150">
        <f t="shared" si="5"/>
        <v>278.15624999999994</v>
      </c>
      <c r="H15" s="150">
        <f t="shared" si="5"/>
        <v>312.92578124999994</v>
      </c>
      <c r="I15" s="150">
        <f t="shared" si="5"/>
        <v>337.83046874999997</v>
      </c>
      <c r="J15" s="150">
        <f t="shared" si="5"/>
        <v>375.95566406249992</v>
      </c>
      <c r="K15" s="150">
        <f t="shared" si="5"/>
        <v>414.53367187499992</v>
      </c>
    </row>
    <row r="16" spans="1:14">
      <c r="A16" s="81" t="s">
        <v>362</v>
      </c>
      <c r="B16" s="83" t="s">
        <v>65</v>
      </c>
      <c r="C16" s="299">
        <f t="shared" si="6"/>
        <v>16.071428571428569</v>
      </c>
      <c r="D16" s="299">
        <f t="shared" si="4"/>
        <v>0.16</v>
      </c>
      <c r="E16" s="150">
        <f t="shared" si="5"/>
        <v>115.71428571428571</v>
      </c>
      <c r="F16" s="150">
        <f t="shared" si="5"/>
        <v>144.64285714285714</v>
      </c>
      <c r="G16" s="150">
        <f t="shared" si="5"/>
        <v>165.85714285714283</v>
      </c>
      <c r="H16" s="150">
        <f t="shared" si="5"/>
        <v>186.58928571428569</v>
      </c>
      <c r="I16" s="150">
        <f t="shared" si="5"/>
        <v>201.43928571428572</v>
      </c>
      <c r="J16" s="150">
        <f t="shared" si="5"/>
        <v>224.17232142857139</v>
      </c>
      <c r="K16" s="150">
        <f t="shared" si="5"/>
        <v>247.17535714285711</v>
      </c>
    </row>
    <row r="17" spans="1:11">
      <c r="A17" s="81" t="s">
        <v>359</v>
      </c>
      <c r="B17" s="83" t="s">
        <v>65</v>
      </c>
      <c r="C17" s="299">
        <f t="shared" si="6"/>
        <v>125</v>
      </c>
      <c r="D17" s="299">
        <f t="shared" si="4"/>
        <v>1.0000000000000002E-2</v>
      </c>
      <c r="E17" s="150">
        <f t="shared" si="5"/>
        <v>56.250000000000007</v>
      </c>
      <c r="F17" s="150">
        <f t="shared" si="5"/>
        <v>70.312500000000014</v>
      </c>
      <c r="G17" s="150">
        <f t="shared" si="5"/>
        <v>80.625000000000014</v>
      </c>
      <c r="H17" s="150">
        <f t="shared" si="5"/>
        <v>90.703125000000014</v>
      </c>
      <c r="I17" s="150">
        <f t="shared" si="5"/>
        <v>97.921875000000028</v>
      </c>
      <c r="J17" s="150">
        <f t="shared" si="5"/>
        <v>108.97265625000001</v>
      </c>
      <c r="K17" s="150">
        <f t="shared" si="5"/>
        <v>120.15468750000002</v>
      </c>
    </row>
    <row r="18" spans="1:11">
      <c r="A18" s="159" t="s">
        <v>0</v>
      </c>
      <c r="B18" s="319" t="s">
        <v>65</v>
      </c>
      <c r="C18" s="328"/>
      <c r="D18" s="328"/>
      <c r="E18" s="324">
        <f t="shared" ref="E18:K18" si="7">SUM(E13:E17)</f>
        <v>583.97042410714278</v>
      </c>
      <c r="F18" s="324">
        <f t="shared" si="7"/>
        <v>729.96303013392844</v>
      </c>
      <c r="G18" s="324">
        <f t="shared" si="7"/>
        <v>837.02427455357133</v>
      </c>
      <c r="H18" s="324">
        <f t="shared" si="7"/>
        <v>941.65230887276778</v>
      </c>
      <c r="I18" s="324">
        <f t="shared" si="7"/>
        <v>1016.5951799665178</v>
      </c>
      <c r="J18" s="324">
        <f t="shared" si="7"/>
        <v>1131.3210362025668</v>
      </c>
      <c r="K18" s="324">
        <f t="shared" si="7"/>
        <v>1247.4094900948658</v>
      </c>
    </row>
    <row r="19" spans="1:11">
      <c r="A19" s="159" t="s">
        <v>96</v>
      </c>
      <c r="B19" s="319"/>
      <c r="C19" s="328"/>
      <c r="D19" s="328"/>
      <c r="E19" s="324">
        <f>E11+E18</f>
        <v>2608.4012276785711</v>
      </c>
      <c r="F19" s="324">
        <f t="shared" ref="F19:K19" si="8">F11+F18</f>
        <v>2754.3938337053569</v>
      </c>
      <c r="G19" s="324">
        <f t="shared" si="8"/>
        <v>2975.0048828125</v>
      </c>
      <c r="H19" s="324">
        <f t="shared" si="8"/>
        <v>3249.9576241629461</v>
      </c>
      <c r="I19" s="324">
        <f t="shared" si="8"/>
        <v>3428.7174595424103</v>
      </c>
      <c r="J19" s="324">
        <f t="shared" si="8"/>
        <v>3843.5392281668528</v>
      </c>
      <c r="K19" s="324">
        <f t="shared" si="8"/>
        <v>4181.3336757114957</v>
      </c>
    </row>
    <row r="22" spans="1:11">
      <c r="A22" s="317" t="s">
        <v>165</v>
      </c>
      <c r="B22" s="318" t="str">
        <f>B4</f>
        <v>Ед.изм.</v>
      </c>
      <c r="C22" s="318"/>
      <c r="D22" s="318"/>
      <c r="E22" s="321">
        <f>E4</f>
        <v>2012</v>
      </c>
      <c r="F22" s="321">
        <f t="shared" ref="F22:K22" si="9">F4</f>
        <v>2013</v>
      </c>
      <c r="G22" s="321">
        <f t="shared" si="9"/>
        <v>2014</v>
      </c>
      <c r="H22" s="321">
        <f t="shared" si="9"/>
        <v>2015</v>
      </c>
      <c r="I22" s="321">
        <f t="shared" si="9"/>
        <v>2016</v>
      </c>
      <c r="J22" s="321">
        <f t="shared" si="9"/>
        <v>2017</v>
      </c>
      <c r="K22" s="321">
        <f t="shared" si="9"/>
        <v>2018</v>
      </c>
    </row>
    <row r="23" spans="1:11">
      <c r="A23" s="295" t="s">
        <v>349</v>
      </c>
      <c r="B23" s="296" t="s">
        <v>295</v>
      </c>
      <c r="C23" s="297">
        <f>Исх!C28+Исх!C29</f>
        <v>52</v>
      </c>
    </row>
    <row r="24" spans="1:11">
      <c r="A24" s="295" t="s">
        <v>350</v>
      </c>
      <c r="B24" s="296" t="s">
        <v>295</v>
      </c>
      <c r="C24" s="297">
        <f>Исх!C28*Исх!C24</f>
        <v>45</v>
      </c>
    </row>
    <row r="25" spans="1:11">
      <c r="A25" s="81" t="s">
        <v>351</v>
      </c>
      <c r="B25" s="83" t="s">
        <v>295</v>
      </c>
      <c r="C25" s="157">
        <f>C23+C24/2</f>
        <v>74.5</v>
      </c>
    </row>
    <row r="26" spans="1:11">
      <c r="A26" s="81" t="s">
        <v>348</v>
      </c>
      <c r="B26" s="83" t="s">
        <v>65</v>
      </c>
      <c r="C26" s="157">
        <f>ФОТ!K17</f>
        <v>705.69799999999998</v>
      </c>
    </row>
    <row r="27" spans="1:11">
      <c r="A27" s="81" t="s">
        <v>346</v>
      </c>
      <c r="B27" s="83" t="s">
        <v>65</v>
      </c>
      <c r="C27" s="157">
        <f>C26/C25</f>
        <v>9.4724563758389255</v>
      </c>
    </row>
    <row r="28" spans="1:11">
      <c r="A28" s="159" t="s">
        <v>347</v>
      </c>
      <c r="B28" s="319" t="s">
        <v>295</v>
      </c>
      <c r="C28" s="81"/>
      <c r="D28" s="81"/>
      <c r="E28" s="158">
        <f>Производство!E65+Производство!E66/2</f>
        <v>74.5</v>
      </c>
      <c r="F28" s="158">
        <f>Производство!F65+Производство!F66/2</f>
        <v>80.125</v>
      </c>
      <c r="G28" s="158">
        <f>Производство!G65+Производство!G66/2</f>
        <v>87.166666666666671</v>
      </c>
      <c r="H28" s="158">
        <f>Производство!H65+Производство!H66/2</f>
        <v>95.572916666666671</v>
      </c>
      <c r="I28" s="158">
        <f>Производство!I65+Производство!I66/2</f>
        <v>101.12708333333335</v>
      </c>
      <c r="J28" s="158">
        <f>Производство!J65+Производство!J66/2</f>
        <v>113.25572916666668</v>
      </c>
      <c r="K28" s="158">
        <f>Производство!K65+Производство!K66/2</f>
        <v>123.42333333333336</v>
      </c>
    </row>
    <row r="29" spans="1:11">
      <c r="A29" s="159" t="s">
        <v>49</v>
      </c>
      <c r="B29" s="319" t="s">
        <v>65</v>
      </c>
      <c r="C29" s="159"/>
      <c r="D29" s="159"/>
      <c r="E29" s="158">
        <f>E28*$C$27</f>
        <v>705.69799999999998</v>
      </c>
      <c r="F29" s="158">
        <f t="shared" ref="F29:K29" si="10">F28*$C$27</f>
        <v>758.9805671140939</v>
      </c>
      <c r="G29" s="158">
        <f t="shared" si="10"/>
        <v>825.68244742729303</v>
      </c>
      <c r="H29" s="158">
        <f t="shared" si="10"/>
        <v>905.310283836689</v>
      </c>
      <c r="I29" s="158">
        <f t="shared" si="10"/>
        <v>957.92188529082784</v>
      </c>
      <c r="J29" s="158">
        <f t="shared" si="10"/>
        <v>1072.8099538450783</v>
      </c>
      <c r="K29" s="158">
        <f t="shared" si="10"/>
        <v>1169.1221407606265</v>
      </c>
    </row>
  </sheetData>
  <phoneticPr fontId="3" type="noConversion"/>
  <pageMargins left="0.34" right="0.43" top="0.45" bottom="0.38" header="0.2" footer="0.3"/>
  <pageSetup paperSize="9" orientation="landscape" r:id="rId1"/>
  <headerFooter alignWithMargins="0"/>
  <picture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R91"/>
  <sheetViews>
    <sheetView showGridLines="0" zoomScaleNormal="100" workbookViewId="0">
      <pane xSplit="1" ySplit="4" topLeftCell="B71" activePane="bottomRight" state="frozen"/>
      <selection pane="topRight" activeCell="B1" sqref="B1"/>
      <selection pane="bottomLeft" activeCell="A8" sqref="A8"/>
      <selection pane="bottomRight" activeCell="E4" sqref="E4"/>
    </sheetView>
  </sheetViews>
  <sheetFormatPr defaultRowHeight="12.75" outlineLevelRow="1"/>
  <cols>
    <col min="1" max="1" width="34.5703125" style="78" customWidth="1"/>
    <col min="2" max="2" width="7.28515625" style="151" customWidth="1"/>
    <col min="3" max="3" width="9" style="78" customWidth="1"/>
    <col min="4" max="4" width="8.85546875" style="78" customWidth="1"/>
    <col min="5" max="5" width="9.140625" style="78"/>
    <col min="6" max="12" width="9" style="78" customWidth="1"/>
    <col min="13" max="13" width="11.140625" style="78" customWidth="1"/>
    <col min="14" max="14" width="2.85546875" style="78" customWidth="1"/>
    <col min="15" max="16384" width="9.140625" style="78"/>
  </cols>
  <sheetData>
    <row r="1" spans="1:15" ht="17.25" customHeight="1">
      <c r="A1" s="62" t="s">
        <v>251</v>
      </c>
      <c r="B1" s="144"/>
      <c r="C1" s="62"/>
      <c r="E1" s="333">
        <f>E65+E66</f>
        <v>97</v>
      </c>
      <c r="F1" s="333">
        <f t="shared" ref="F1:K1" si="0">F65+F66</f>
        <v>108.25</v>
      </c>
      <c r="G1" s="333">
        <f t="shared" si="0"/>
        <v>119.41666666666667</v>
      </c>
      <c r="H1" s="333">
        <f t="shared" si="0"/>
        <v>131.85416666666669</v>
      </c>
      <c r="I1" s="333">
        <f t="shared" si="0"/>
        <v>140.29583333333335</v>
      </c>
      <c r="J1" s="333">
        <f t="shared" si="0"/>
        <v>156.84479166666668</v>
      </c>
      <c r="K1" s="333">
        <f t="shared" si="0"/>
        <v>171.48520833333336</v>
      </c>
      <c r="L1" s="333">
        <f>L65+L66</f>
        <v>190.48151041666671</v>
      </c>
      <c r="O1" s="208"/>
    </row>
    <row r="2" spans="1:15">
      <c r="E2" s="144"/>
      <c r="F2" s="144"/>
      <c r="G2" s="144"/>
      <c r="H2" s="144"/>
      <c r="I2" s="144"/>
    </row>
    <row r="3" spans="1:15">
      <c r="A3" s="227"/>
      <c r="B3" s="252" t="s">
        <v>226</v>
      </c>
      <c r="C3" s="252" t="s">
        <v>120</v>
      </c>
      <c r="D3" s="252" t="s">
        <v>252</v>
      </c>
      <c r="E3" s="252">
        <v>2012</v>
      </c>
      <c r="F3" s="252">
        <f>E3+1</f>
        <v>2013</v>
      </c>
      <c r="G3" s="252">
        <f t="shared" ref="G3:L3" si="1">F3+1</f>
        <v>2014</v>
      </c>
      <c r="H3" s="252">
        <f t="shared" si="1"/>
        <v>2015</v>
      </c>
      <c r="I3" s="252">
        <f t="shared" si="1"/>
        <v>2016</v>
      </c>
      <c r="J3" s="252">
        <f t="shared" si="1"/>
        <v>2017</v>
      </c>
      <c r="K3" s="252">
        <f t="shared" si="1"/>
        <v>2018</v>
      </c>
      <c r="L3" s="252">
        <f t="shared" si="1"/>
        <v>2019</v>
      </c>
      <c r="O3" s="333">
        <f>'1-Ф3'!B2</f>
        <v>0</v>
      </c>
    </row>
    <row r="4" spans="1:15" ht="13.5" thickBot="1">
      <c r="A4" s="259" t="s">
        <v>379</v>
      </c>
      <c r="B4" s="260"/>
      <c r="C4" s="260"/>
      <c r="D4" s="261"/>
      <c r="E4" s="262"/>
      <c r="F4" s="262"/>
      <c r="G4" s="262"/>
      <c r="H4" s="262"/>
      <c r="I4" s="262"/>
      <c r="J4" s="262"/>
      <c r="K4" s="262"/>
      <c r="L4" s="262"/>
    </row>
    <row r="5" spans="1:15" outlineLevel="1">
      <c r="A5" s="263" t="s">
        <v>253</v>
      </c>
      <c r="B5" s="264"/>
      <c r="C5" s="265"/>
      <c r="D5" s="266"/>
      <c r="E5" s="267">
        <f>Исх!C28</f>
        <v>50</v>
      </c>
      <c r="F5" s="268"/>
      <c r="G5" s="268"/>
      <c r="H5" s="268"/>
      <c r="I5" s="268"/>
      <c r="J5" s="268"/>
      <c r="K5" s="268"/>
      <c r="L5" s="269"/>
    </row>
    <row r="6" spans="1:15" ht="25.5" outlineLevel="1">
      <c r="A6" s="270" t="s">
        <v>254</v>
      </c>
      <c r="B6" s="271"/>
      <c r="C6" s="150"/>
      <c r="D6" s="272">
        <f>Исх!$C$23</f>
        <v>0.33333333333333331</v>
      </c>
      <c r="E6" s="150"/>
      <c r="F6" s="157"/>
      <c r="G6" s="273">
        <f>$E$5*$D$6-F7-E7</f>
        <v>16.666666666666664</v>
      </c>
      <c r="H6" s="273">
        <f>$E$5*$D$6-G7</f>
        <v>16.666666666666664</v>
      </c>
      <c r="I6" s="273">
        <f>$E$5*$D$6-H7</f>
        <v>16.666666666666664</v>
      </c>
      <c r="J6" s="149"/>
      <c r="K6" s="149"/>
      <c r="L6" s="274"/>
    </row>
    <row r="7" spans="1:15" outlineLevel="1">
      <c r="A7" s="270" t="s">
        <v>255</v>
      </c>
      <c r="B7" s="271"/>
      <c r="C7" s="150"/>
      <c r="D7" s="272"/>
      <c r="E7" s="149"/>
      <c r="F7" s="149"/>
      <c r="G7" s="149"/>
      <c r="H7" s="149"/>
      <c r="I7" s="149"/>
      <c r="J7" s="149"/>
      <c r="K7" s="149"/>
      <c r="L7" s="274"/>
    </row>
    <row r="8" spans="1:15" outlineLevel="1">
      <c r="A8" s="270" t="s">
        <v>256</v>
      </c>
      <c r="B8" s="271"/>
      <c r="C8" s="150"/>
      <c r="D8" s="272"/>
      <c r="E8" s="150">
        <f>E5-E6-E7</f>
        <v>50</v>
      </c>
      <c r="F8" s="150">
        <f t="shared" ref="F8:L8" si="2">E8+F5-F6-F7</f>
        <v>50</v>
      </c>
      <c r="G8" s="150">
        <f t="shared" si="2"/>
        <v>33.333333333333336</v>
      </c>
      <c r="H8" s="150">
        <f t="shared" si="2"/>
        <v>16.666666666666671</v>
      </c>
      <c r="I8" s="150">
        <f t="shared" si="2"/>
        <v>7.1054273576010019E-15</v>
      </c>
      <c r="J8" s="150">
        <f t="shared" si="2"/>
        <v>7.1054273576010019E-15</v>
      </c>
      <c r="K8" s="150">
        <f t="shared" si="2"/>
        <v>7.1054273576010019E-15</v>
      </c>
      <c r="L8" s="275">
        <f t="shared" si="2"/>
        <v>7.1054273576010019E-15</v>
      </c>
    </row>
    <row r="9" spans="1:15" outlineLevel="1">
      <c r="A9" s="276" t="s">
        <v>257</v>
      </c>
      <c r="B9" s="271"/>
      <c r="C9" s="150"/>
      <c r="D9" s="272">
        <f>Исх!C24</f>
        <v>0.9</v>
      </c>
      <c r="E9" s="150">
        <f>E8*$D$9</f>
        <v>45</v>
      </c>
      <c r="F9" s="150">
        <f t="shared" ref="F9:L9" si="3">F8*$D$9</f>
        <v>45</v>
      </c>
      <c r="G9" s="150">
        <f>G8*$D$9</f>
        <v>30.000000000000004</v>
      </c>
      <c r="H9" s="150">
        <f t="shared" si="3"/>
        <v>15.000000000000005</v>
      </c>
      <c r="I9" s="150">
        <f t="shared" si="3"/>
        <v>6.3948846218409018E-15</v>
      </c>
      <c r="J9" s="150">
        <f t="shared" si="3"/>
        <v>6.3948846218409018E-15</v>
      </c>
      <c r="K9" s="150">
        <f t="shared" si="3"/>
        <v>6.3948846218409018E-15</v>
      </c>
      <c r="L9" s="275">
        <f t="shared" si="3"/>
        <v>6.3948846218409018E-15</v>
      </c>
    </row>
    <row r="10" spans="1:15" outlineLevel="1">
      <c r="A10" s="276" t="s">
        <v>258</v>
      </c>
      <c r="B10" s="271"/>
      <c r="C10" s="150"/>
      <c r="D10" s="272">
        <f>Исх!C25</f>
        <v>0.5</v>
      </c>
      <c r="E10" s="150">
        <f>E9*$D$10</f>
        <v>22.5</v>
      </c>
      <c r="F10" s="150">
        <f t="shared" ref="F10:L10" si="4">F9*$D$10</f>
        <v>22.5</v>
      </c>
      <c r="G10" s="150">
        <f>G9*$D$10</f>
        <v>15.000000000000002</v>
      </c>
      <c r="H10" s="150">
        <f t="shared" si="4"/>
        <v>7.5000000000000027</v>
      </c>
      <c r="I10" s="150">
        <f t="shared" si="4"/>
        <v>3.1974423109204509E-15</v>
      </c>
      <c r="J10" s="150">
        <f t="shared" si="4"/>
        <v>3.1974423109204509E-15</v>
      </c>
      <c r="K10" s="150">
        <f t="shared" si="4"/>
        <v>3.1974423109204509E-15</v>
      </c>
      <c r="L10" s="275">
        <f t="shared" si="4"/>
        <v>3.1974423109204509E-15</v>
      </c>
    </row>
    <row r="11" spans="1:15" ht="13.5" outlineLevel="1" thickBot="1">
      <c r="A11" s="277" t="s">
        <v>259</v>
      </c>
      <c r="B11" s="278"/>
      <c r="C11" s="279"/>
      <c r="D11" s="286">
        <f>Исх!C26</f>
        <v>0.5</v>
      </c>
      <c r="E11" s="279">
        <f>E9*$D$11</f>
        <v>22.5</v>
      </c>
      <c r="F11" s="279">
        <f t="shared" ref="F11:L11" si="5">F9*$D$11</f>
        <v>22.5</v>
      </c>
      <c r="G11" s="279">
        <f>G9*$D$11</f>
        <v>15.000000000000002</v>
      </c>
      <c r="H11" s="279">
        <f t="shared" si="5"/>
        <v>7.5000000000000027</v>
      </c>
      <c r="I11" s="279">
        <f t="shared" si="5"/>
        <v>3.1974423109204509E-15</v>
      </c>
      <c r="J11" s="279">
        <f t="shared" si="5"/>
        <v>3.1974423109204509E-15</v>
      </c>
      <c r="K11" s="279">
        <f t="shared" si="5"/>
        <v>3.1974423109204509E-15</v>
      </c>
      <c r="L11" s="280">
        <f t="shared" si="5"/>
        <v>3.1974423109204509E-15</v>
      </c>
    </row>
    <row r="12" spans="1:15" ht="13.5" thickBot="1">
      <c r="A12" s="281" t="s">
        <v>260</v>
      </c>
      <c r="B12" s="282"/>
      <c r="C12" s="283"/>
      <c r="D12" s="284"/>
      <c r="E12" s="283"/>
      <c r="F12" s="283"/>
      <c r="G12" s="283"/>
      <c r="H12" s="283"/>
      <c r="I12" s="283"/>
      <c r="J12" s="283"/>
      <c r="K12" s="283"/>
      <c r="L12" s="285"/>
    </row>
    <row r="13" spans="1:15" outlineLevel="1">
      <c r="A13" s="263" t="s">
        <v>256</v>
      </c>
      <c r="B13" s="264"/>
      <c r="C13" s="265"/>
      <c r="D13" s="266"/>
      <c r="E13" s="268"/>
      <c r="F13" s="268"/>
      <c r="G13" s="268">
        <f>E11</f>
        <v>22.5</v>
      </c>
      <c r="H13" s="268"/>
      <c r="I13" s="268"/>
      <c r="J13" s="268"/>
      <c r="K13" s="268"/>
      <c r="L13" s="269"/>
    </row>
    <row r="14" spans="1:15" outlineLevel="1">
      <c r="A14" s="270" t="s">
        <v>261</v>
      </c>
      <c r="B14" s="271"/>
      <c r="C14" s="150"/>
      <c r="D14" s="272">
        <f>D6</f>
        <v>0.33333333333333331</v>
      </c>
      <c r="E14" s="150"/>
      <c r="F14" s="157"/>
      <c r="G14" s="157"/>
      <c r="H14" s="157"/>
      <c r="I14" s="273">
        <f>$G$13*$D$14-H15</f>
        <v>7.5</v>
      </c>
      <c r="J14" s="273">
        <f>$G$13*$D$14-I15</f>
        <v>7.5</v>
      </c>
      <c r="K14" s="273">
        <f>$G$13*$D$14-J15</f>
        <v>7.5</v>
      </c>
      <c r="L14" s="274"/>
    </row>
    <row r="15" spans="1:15" outlineLevel="1">
      <c r="A15" s="270" t="s">
        <v>255</v>
      </c>
      <c r="B15" s="271"/>
      <c r="C15" s="150"/>
      <c r="D15" s="272"/>
      <c r="E15" s="149"/>
      <c r="F15" s="149"/>
      <c r="G15" s="149"/>
      <c r="H15" s="149"/>
      <c r="I15" s="149"/>
      <c r="J15" s="149"/>
      <c r="K15" s="149"/>
      <c r="L15" s="274"/>
    </row>
    <row r="16" spans="1:15" outlineLevel="1">
      <c r="A16" s="270" t="s">
        <v>256</v>
      </c>
      <c r="B16" s="271"/>
      <c r="C16" s="150"/>
      <c r="D16" s="272"/>
      <c r="E16" s="150">
        <f>E13-E14-E15</f>
        <v>0</v>
      </c>
      <c r="F16" s="150">
        <f t="shared" ref="F16:L16" si="6">E16+F13-F14-F15</f>
        <v>0</v>
      </c>
      <c r="G16" s="150">
        <f t="shared" si="6"/>
        <v>22.5</v>
      </c>
      <c r="H16" s="150">
        <f t="shared" si="6"/>
        <v>22.5</v>
      </c>
      <c r="I16" s="150">
        <f t="shared" si="6"/>
        <v>15</v>
      </c>
      <c r="J16" s="150">
        <f t="shared" si="6"/>
        <v>7.5</v>
      </c>
      <c r="K16" s="150">
        <f t="shared" si="6"/>
        <v>0</v>
      </c>
      <c r="L16" s="275">
        <f t="shared" si="6"/>
        <v>0</v>
      </c>
    </row>
    <row r="17" spans="1:12" outlineLevel="1">
      <c r="A17" s="276" t="s">
        <v>257</v>
      </c>
      <c r="B17" s="271"/>
      <c r="C17" s="150"/>
      <c r="D17" s="272">
        <f>D9</f>
        <v>0.9</v>
      </c>
      <c r="E17" s="150">
        <f t="shared" ref="E17:L17" si="7">E16*$D$9</f>
        <v>0</v>
      </c>
      <c r="F17" s="150">
        <f t="shared" si="7"/>
        <v>0</v>
      </c>
      <c r="G17" s="150">
        <f t="shared" si="7"/>
        <v>20.25</v>
      </c>
      <c r="H17" s="150">
        <f t="shared" si="7"/>
        <v>20.25</v>
      </c>
      <c r="I17" s="150">
        <f t="shared" si="7"/>
        <v>13.5</v>
      </c>
      <c r="J17" s="150">
        <f t="shared" si="7"/>
        <v>6.75</v>
      </c>
      <c r="K17" s="150">
        <f t="shared" si="7"/>
        <v>0</v>
      </c>
      <c r="L17" s="275">
        <f t="shared" si="7"/>
        <v>0</v>
      </c>
    </row>
    <row r="18" spans="1:12" outlineLevel="1">
      <c r="A18" s="276" t="s">
        <v>258</v>
      </c>
      <c r="B18" s="271"/>
      <c r="C18" s="150"/>
      <c r="D18" s="272">
        <f>D10</f>
        <v>0.5</v>
      </c>
      <c r="E18" s="150">
        <f t="shared" ref="E18:L18" si="8">E17*$D$10</f>
        <v>0</v>
      </c>
      <c r="F18" s="150">
        <f t="shared" si="8"/>
        <v>0</v>
      </c>
      <c r="G18" s="150">
        <f t="shared" si="8"/>
        <v>10.125</v>
      </c>
      <c r="H18" s="150">
        <f t="shared" si="8"/>
        <v>10.125</v>
      </c>
      <c r="I18" s="150">
        <f t="shared" si="8"/>
        <v>6.75</v>
      </c>
      <c r="J18" s="150">
        <f t="shared" si="8"/>
        <v>3.375</v>
      </c>
      <c r="K18" s="150">
        <f t="shared" si="8"/>
        <v>0</v>
      </c>
      <c r="L18" s="275">
        <f t="shared" si="8"/>
        <v>0</v>
      </c>
    </row>
    <row r="19" spans="1:12" ht="13.5" outlineLevel="1" thickBot="1">
      <c r="A19" s="277" t="s">
        <v>259</v>
      </c>
      <c r="B19" s="278"/>
      <c r="C19" s="279"/>
      <c r="D19" s="286">
        <f>D11</f>
        <v>0.5</v>
      </c>
      <c r="E19" s="279">
        <f t="shared" ref="E19:L19" si="9">E17*$D$11</f>
        <v>0</v>
      </c>
      <c r="F19" s="279">
        <f t="shared" si="9"/>
        <v>0</v>
      </c>
      <c r="G19" s="279">
        <f t="shared" si="9"/>
        <v>10.125</v>
      </c>
      <c r="H19" s="279">
        <f t="shared" si="9"/>
        <v>10.125</v>
      </c>
      <c r="I19" s="279">
        <f t="shared" si="9"/>
        <v>6.75</v>
      </c>
      <c r="J19" s="279">
        <f t="shared" si="9"/>
        <v>3.375</v>
      </c>
      <c r="K19" s="279">
        <f t="shared" si="9"/>
        <v>0</v>
      </c>
      <c r="L19" s="280">
        <f t="shared" si="9"/>
        <v>0</v>
      </c>
    </row>
    <row r="20" spans="1:12" ht="13.5" thickBot="1">
      <c r="A20" s="281" t="s">
        <v>262</v>
      </c>
      <c r="B20" s="282"/>
      <c r="C20" s="283"/>
      <c r="D20" s="284"/>
      <c r="E20" s="283"/>
      <c r="F20" s="283"/>
      <c r="G20" s="283"/>
      <c r="H20" s="283"/>
      <c r="I20" s="283"/>
      <c r="J20" s="283"/>
      <c r="K20" s="283"/>
      <c r="L20" s="285"/>
    </row>
    <row r="21" spans="1:12" outlineLevel="1">
      <c r="A21" s="263" t="str">
        <f>A13</f>
        <v>Поголовье коров</v>
      </c>
      <c r="B21" s="264"/>
      <c r="C21" s="265"/>
      <c r="D21" s="266"/>
      <c r="E21" s="268"/>
      <c r="F21" s="268"/>
      <c r="G21" s="268"/>
      <c r="H21" s="268">
        <f>F11</f>
        <v>22.5</v>
      </c>
      <c r="I21" s="268"/>
      <c r="J21" s="268"/>
      <c r="K21" s="268"/>
      <c r="L21" s="269"/>
    </row>
    <row r="22" spans="1:12" outlineLevel="1">
      <c r="A22" s="270" t="str">
        <f>A14</f>
        <v>Выбраковка</v>
      </c>
      <c r="B22" s="271"/>
      <c r="C22" s="150"/>
      <c r="D22" s="272">
        <f>D14</f>
        <v>0.33333333333333331</v>
      </c>
      <c r="E22" s="150"/>
      <c r="F22" s="157"/>
      <c r="G22" s="157"/>
      <c r="H22" s="157"/>
      <c r="I22" s="157"/>
      <c r="J22" s="273">
        <f>$H$21*$D$14-I23</f>
        <v>7.5</v>
      </c>
      <c r="K22" s="273">
        <f>$H$21*$D$14-J23</f>
        <v>7.5</v>
      </c>
      <c r="L22" s="287">
        <f>$H$21*$D$14-K23</f>
        <v>7.5</v>
      </c>
    </row>
    <row r="23" spans="1:12" outlineLevel="1">
      <c r="A23" s="270" t="s">
        <v>255</v>
      </c>
      <c r="B23" s="271"/>
      <c r="C23" s="150"/>
      <c r="D23" s="272"/>
      <c r="E23" s="149"/>
      <c r="F23" s="149"/>
      <c r="G23" s="149"/>
      <c r="H23" s="149"/>
      <c r="I23" s="149"/>
      <c r="J23" s="149"/>
      <c r="K23" s="149"/>
      <c r="L23" s="274"/>
    </row>
    <row r="24" spans="1:12" outlineLevel="1">
      <c r="A24" s="270" t="str">
        <f>A16</f>
        <v>Поголовье коров</v>
      </c>
      <c r="B24" s="271"/>
      <c r="C24" s="150"/>
      <c r="D24" s="272"/>
      <c r="E24" s="150">
        <f>E21-E22-E23</f>
        <v>0</v>
      </c>
      <c r="F24" s="150">
        <f t="shared" ref="F24:L24" si="10">E24+F21-F22-F23</f>
        <v>0</v>
      </c>
      <c r="G24" s="150">
        <f t="shared" si="10"/>
        <v>0</v>
      </c>
      <c r="H24" s="150">
        <f t="shared" si="10"/>
        <v>22.5</v>
      </c>
      <c r="I24" s="150">
        <f t="shared" si="10"/>
        <v>22.5</v>
      </c>
      <c r="J24" s="150">
        <f t="shared" si="10"/>
        <v>15</v>
      </c>
      <c r="K24" s="150">
        <f t="shared" si="10"/>
        <v>7.5</v>
      </c>
      <c r="L24" s="275">
        <f t="shared" si="10"/>
        <v>0</v>
      </c>
    </row>
    <row r="25" spans="1:12" outlineLevel="1">
      <c r="A25" s="276" t="str">
        <f>A17</f>
        <v>Кол-во полученного приплода</v>
      </c>
      <c r="B25" s="271"/>
      <c r="C25" s="150"/>
      <c r="D25" s="272">
        <f>D17</f>
        <v>0.9</v>
      </c>
      <c r="E25" s="150">
        <f t="shared" ref="E25:L25" si="11">E24*$D$9</f>
        <v>0</v>
      </c>
      <c r="F25" s="150">
        <f t="shared" si="11"/>
        <v>0</v>
      </c>
      <c r="G25" s="150">
        <f t="shared" si="11"/>
        <v>0</v>
      </c>
      <c r="H25" s="150">
        <f t="shared" si="11"/>
        <v>20.25</v>
      </c>
      <c r="I25" s="150">
        <f t="shared" si="11"/>
        <v>20.25</v>
      </c>
      <c r="J25" s="150">
        <f t="shared" si="11"/>
        <v>13.5</v>
      </c>
      <c r="K25" s="150">
        <f t="shared" si="11"/>
        <v>6.75</v>
      </c>
      <c r="L25" s="275">
        <f t="shared" si="11"/>
        <v>0</v>
      </c>
    </row>
    <row r="26" spans="1:12" outlineLevel="1">
      <c r="A26" s="276" t="str">
        <f>A18</f>
        <v>в т.ч. поголовье бычков</v>
      </c>
      <c r="B26" s="271"/>
      <c r="C26" s="150"/>
      <c r="D26" s="272">
        <f>D18</f>
        <v>0.5</v>
      </c>
      <c r="E26" s="150">
        <f t="shared" ref="E26:L26" si="12">E25*$D$10</f>
        <v>0</v>
      </c>
      <c r="F26" s="150">
        <f t="shared" si="12"/>
        <v>0</v>
      </c>
      <c r="G26" s="150">
        <f t="shared" si="12"/>
        <v>0</v>
      </c>
      <c r="H26" s="150">
        <f t="shared" si="12"/>
        <v>10.125</v>
      </c>
      <c r="I26" s="150">
        <f t="shared" si="12"/>
        <v>10.125</v>
      </c>
      <c r="J26" s="150">
        <f t="shared" si="12"/>
        <v>6.75</v>
      </c>
      <c r="K26" s="150">
        <f t="shared" si="12"/>
        <v>3.375</v>
      </c>
      <c r="L26" s="275">
        <f t="shared" si="12"/>
        <v>0</v>
      </c>
    </row>
    <row r="27" spans="1:12" ht="13.5" outlineLevel="1" thickBot="1">
      <c r="A27" s="277" t="str">
        <f>A19</f>
        <v>поголовье телок</v>
      </c>
      <c r="B27" s="278"/>
      <c r="C27" s="279"/>
      <c r="D27" s="286">
        <f>D19</f>
        <v>0.5</v>
      </c>
      <c r="E27" s="279">
        <f t="shared" ref="E27:L27" si="13">E25*$D$11</f>
        <v>0</v>
      </c>
      <c r="F27" s="279">
        <f t="shared" si="13"/>
        <v>0</v>
      </c>
      <c r="G27" s="279">
        <f t="shared" si="13"/>
        <v>0</v>
      </c>
      <c r="H27" s="279">
        <f t="shared" si="13"/>
        <v>10.125</v>
      </c>
      <c r="I27" s="279">
        <f t="shared" si="13"/>
        <v>10.125</v>
      </c>
      <c r="J27" s="279">
        <f t="shared" si="13"/>
        <v>6.75</v>
      </c>
      <c r="K27" s="279">
        <f t="shared" si="13"/>
        <v>3.375</v>
      </c>
      <c r="L27" s="280">
        <f t="shared" si="13"/>
        <v>0</v>
      </c>
    </row>
    <row r="28" spans="1:12" ht="13.5" thickBot="1">
      <c r="A28" s="281" t="s">
        <v>263</v>
      </c>
      <c r="B28" s="282"/>
      <c r="C28" s="283"/>
      <c r="D28" s="284"/>
      <c r="E28" s="283"/>
      <c r="F28" s="283"/>
      <c r="G28" s="283"/>
      <c r="H28" s="283"/>
      <c r="I28" s="283"/>
      <c r="J28" s="283"/>
      <c r="K28" s="283"/>
      <c r="L28" s="285"/>
    </row>
    <row r="29" spans="1:12" outlineLevel="1">
      <c r="A29" s="263" t="str">
        <f>A21</f>
        <v>Поголовье коров</v>
      </c>
      <c r="B29" s="264"/>
      <c r="C29" s="265"/>
      <c r="D29" s="266"/>
      <c r="E29" s="268"/>
      <c r="F29" s="268"/>
      <c r="G29" s="268"/>
      <c r="H29" s="268"/>
      <c r="I29" s="268">
        <f>G11+G19</f>
        <v>25.125</v>
      </c>
      <c r="J29" s="268"/>
      <c r="K29" s="268"/>
      <c r="L29" s="269"/>
    </row>
    <row r="30" spans="1:12" outlineLevel="1">
      <c r="A30" s="270" t="str">
        <f>A22</f>
        <v>Выбраковка</v>
      </c>
      <c r="B30" s="271"/>
      <c r="C30" s="150"/>
      <c r="D30" s="272">
        <f>D22</f>
        <v>0.33333333333333331</v>
      </c>
      <c r="E30" s="150"/>
      <c r="F30" s="157"/>
      <c r="G30" s="157"/>
      <c r="H30" s="157"/>
      <c r="I30" s="157"/>
      <c r="J30" s="157"/>
      <c r="K30" s="273">
        <f>$H$21*$D$14-J31</f>
        <v>7.5</v>
      </c>
      <c r="L30" s="287">
        <f>$H$21*$D$14-K31</f>
        <v>7.5</v>
      </c>
    </row>
    <row r="31" spans="1:12" outlineLevel="1">
      <c r="A31" s="270" t="s">
        <v>255</v>
      </c>
      <c r="B31" s="271"/>
      <c r="C31" s="150"/>
      <c r="D31" s="272"/>
      <c r="E31" s="149"/>
      <c r="F31" s="149"/>
      <c r="G31" s="149"/>
      <c r="H31" s="149"/>
      <c r="I31" s="149"/>
      <c r="J31" s="149"/>
      <c r="K31" s="149"/>
      <c r="L31" s="274"/>
    </row>
    <row r="32" spans="1:12" outlineLevel="1">
      <c r="A32" s="270" t="str">
        <f>A24</f>
        <v>Поголовье коров</v>
      </c>
      <c r="B32" s="271"/>
      <c r="C32" s="150"/>
      <c r="D32" s="272"/>
      <c r="E32" s="150">
        <f>E29-E30-E31</f>
        <v>0</v>
      </c>
      <c r="F32" s="150">
        <f t="shared" ref="F32:L32" si="14">E32+F29-F30-F31</f>
        <v>0</v>
      </c>
      <c r="G32" s="150">
        <f t="shared" si="14"/>
        <v>0</v>
      </c>
      <c r="H32" s="150">
        <f t="shared" si="14"/>
        <v>0</v>
      </c>
      <c r="I32" s="150">
        <f t="shared" si="14"/>
        <v>25.125</v>
      </c>
      <c r="J32" s="150">
        <f t="shared" si="14"/>
        <v>25.125</v>
      </c>
      <c r="K32" s="150">
        <f t="shared" si="14"/>
        <v>17.625</v>
      </c>
      <c r="L32" s="275">
        <f t="shared" si="14"/>
        <v>10.125</v>
      </c>
    </row>
    <row r="33" spans="1:12" outlineLevel="1">
      <c r="A33" s="276" t="str">
        <f>A25</f>
        <v>Кол-во полученного приплода</v>
      </c>
      <c r="B33" s="271"/>
      <c r="C33" s="150"/>
      <c r="D33" s="272">
        <f>D25</f>
        <v>0.9</v>
      </c>
      <c r="E33" s="150">
        <f t="shared" ref="E33:L33" si="15">E32*$D$9</f>
        <v>0</v>
      </c>
      <c r="F33" s="150">
        <f t="shared" si="15"/>
        <v>0</v>
      </c>
      <c r="G33" s="150">
        <f t="shared" si="15"/>
        <v>0</v>
      </c>
      <c r="H33" s="150">
        <f t="shared" si="15"/>
        <v>0</v>
      </c>
      <c r="I33" s="150">
        <f t="shared" si="15"/>
        <v>22.612500000000001</v>
      </c>
      <c r="J33" s="150">
        <f t="shared" si="15"/>
        <v>22.612500000000001</v>
      </c>
      <c r="K33" s="150">
        <f t="shared" si="15"/>
        <v>15.862500000000001</v>
      </c>
      <c r="L33" s="275">
        <f t="shared" si="15"/>
        <v>9.1125000000000007</v>
      </c>
    </row>
    <row r="34" spans="1:12" outlineLevel="1">
      <c r="A34" s="276" t="str">
        <f>A26</f>
        <v>в т.ч. поголовье бычков</v>
      </c>
      <c r="B34" s="271"/>
      <c r="C34" s="150"/>
      <c r="D34" s="272">
        <f>D26</f>
        <v>0.5</v>
      </c>
      <c r="E34" s="150">
        <f t="shared" ref="E34:L34" si="16">E33*$D$10</f>
        <v>0</v>
      </c>
      <c r="F34" s="150">
        <f t="shared" si="16"/>
        <v>0</v>
      </c>
      <c r="G34" s="150">
        <f t="shared" si="16"/>
        <v>0</v>
      </c>
      <c r="H34" s="150">
        <f t="shared" si="16"/>
        <v>0</v>
      </c>
      <c r="I34" s="150">
        <f t="shared" si="16"/>
        <v>11.30625</v>
      </c>
      <c r="J34" s="150">
        <f t="shared" si="16"/>
        <v>11.30625</v>
      </c>
      <c r="K34" s="150">
        <f t="shared" si="16"/>
        <v>7.9312500000000004</v>
      </c>
      <c r="L34" s="275">
        <f t="shared" si="16"/>
        <v>4.5562500000000004</v>
      </c>
    </row>
    <row r="35" spans="1:12" ht="13.5" outlineLevel="1" thickBot="1">
      <c r="A35" s="277" t="str">
        <f>A27</f>
        <v>поголовье телок</v>
      </c>
      <c r="B35" s="278"/>
      <c r="C35" s="279"/>
      <c r="D35" s="286">
        <f>D27</f>
        <v>0.5</v>
      </c>
      <c r="E35" s="279">
        <f t="shared" ref="E35:L35" si="17">E33*$D$11</f>
        <v>0</v>
      </c>
      <c r="F35" s="279">
        <f t="shared" si="17"/>
        <v>0</v>
      </c>
      <c r="G35" s="279">
        <f t="shared" si="17"/>
        <v>0</v>
      </c>
      <c r="H35" s="279">
        <f t="shared" si="17"/>
        <v>0</v>
      </c>
      <c r="I35" s="279">
        <f t="shared" si="17"/>
        <v>11.30625</v>
      </c>
      <c r="J35" s="279">
        <f t="shared" si="17"/>
        <v>11.30625</v>
      </c>
      <c r="K35" s="279">
        <f t="shared" si="17"/>
        <v>7.9312500000000004</v>
      </c>
      <c r="L35" s="280">
        <f t="shared" si="17"/>
        <v>4.5562500000000004</v>
      </c>
    </row>
    <row r="36" spans="1:12" ht="13.5" thickBot="1">
      <c r="A36" s="281" t="s">
        <v>264</v>
      </c>
      <c r="B36" s="282"/>
      <c r="C36" s="283"/>
      <c r="D36" s="284"/>
      <c r="E36" s="283"/>
      <c r="F36" s="283"/>
      <c r="G36" s="283"/>
      <c r="H36" s="283"/>
      <c r="I36" s="283"/>
      <c r="J36" s="283"/>
      <c r="K36" s="283"/>
      <c r="L36" s="285"/>
    </row>
    <row r="37" spans="1:12" outlineLevel="1">
      <c r="A37" s="263" t="str">
        <f>A29</f>
        <v>Поголовье коров</v>
      </c>
      <c r="B37" s="264"/>
      <c r="C37" s="265"/>
      <c r="D37" s="266"/>
      <c r="E37" s="268"/>
      <c r="F37" s="268"/>
      <c r="G37" s="268"/>
      <c r="H37" s="268"/>
      <c r="I37" s="268"/>
      <c r="J37" s="268">
        <f>H11+H19+H27</f>
        <v>27.750000000000004</v>
      </c>
      <c r="K37" s="268"/>
      <c r="L37" s="269"/>
    </row>
    <row r="38" spans="1:12" outlineLevel="1">
      <c r="A38" s="270" t="str">
        <f>A30</f>
        <v>Выбраковка</v>
      </c>
      <c r="B38" s="271"/>
      <c r="C38" s="150"/>
      <c r="D38" s="272">
        <f>D30</f>
        <v>0.33333333333333331</v>
      </c>
      <c r="E38" s="150"/>
      <c r="F38" s="157"/>
      <c r="G38" s="157"/>
      <c r="H38" s="157"/>
      <c r="I38" s="157"/>
      <c r="J38" s="157"/>
      <c r="K38" s="157"/>
      <c r="L38" s="287">
        <f>$H$21*$D$14</f>
        <v>7.5</v>
      </c>
    </row>
    <row r="39" spans="1:12" outlineLevel="1">
      <c r="A39" s="270" t="s">
        <v>255</v>
      </c>
      <c r="B39" s="271"/>
      <c r="C39" s="150"/>
      <c r="D39" s="272"/>
      <c r="E39" s="149"/>
      <c r="F39" s="149"/>
      <c r="G39" s="149"/>
      <c r="H39" s="149"/>
      <c r="I39" s="149"/>
      <c r="J39" s="149"/>
      <c r="K39" s="149">
        <v>2</v>
      </c>
      <c r="L39" s="274"/>
    </row>
    <row r="40" spans="1:12" outlineLevel="1">
      <c r="A40" s="270" t="str">
        <f>A32</f>
        <v>Поголовье коров</v>
      </c>
      <c r="B40" s="271"/>
      <c r="C40" s="150"/>
      <c r="D40" s="272"/>
      <c r="E40" s="150">
        <f>E37-E38-E39</f>
        <v>0</v>
      </c>
      <c r="F40" s="150">
        <f t="shared" ref="F40:L40" si="18">E40+F37-F38-F39</f>
        <v>0</v>
      </c>
      <c r="G40" s="150">
        <f t="shared" si="18"/>
        <v>0</v>
      </c>
      <c r="H40" s="150">
        <f t="shared" si="18"/>
        <v>0</v>
      </c>
      <c r="I40" s="150">
        <f t="shared" si="18"/>
        <v>0</v>
      </c>
      <c r="J40" s="150">
        <f t="shared" si="18"/>
        <v>27.750000000000004</v>
      </c>
      <c r="K40" s="150">
        <f t="shared" si="18"/>
        <v>25.750000000000004</v>
      </c>
      <c r="L40" s="275">
        <f t="shared" si="18"/>
        <v>18.250000000000004</v>
      </c>
    </row>
    <row r="41" spans="1:12" outlineLevel="1">
      <c r="A41" s="276" t="str">
        <f>A33</f>
        <v>Кол-во полученного приплода</v>
      </c>
      <c r="B41" s="271"/>
      <c r="C41" s="150"/>
      <c r="D41" s="272">
        <f>D33</f>
        <v>0.9</v>
      </c>
      <c r="E41" s="150">
        <f t="shared" ref="E41:L41" si="19">E40*$D$9</f>
        <v>0</v>
      </c>
      <c r="F41" s="150">
        <f t="shared" si="19"/>
        <v>0</v>
      </c>
      <c r="G41" s="150">
        <f t="shared" si="19"/>
        <v>0</v>
      </c>
      <c r="H41" s="150">
        <f t="shared" si="19"/>
        <v>0</v>
      </c>
      <c r="I41" s="150">
        <f t="shared" si="19"/>
        <v>0</v>
      </c>
      <c r="J41" s="150">
        <f t="shared" si="19"/>
        <v>24.975000000000005</v>
      </c>
      <c r="K41" s="150">
        <f t="shared" si="19"/>
        <v>23.175000000000004</v>
      </c>
      <c r="L41" s="275">
        <f t="shared" si="19"/>
        <v>16.425000000000004</v>
      </c>
    </row>
    <row r="42" spans="1:12" outlineLevel="1">
      <c r="A42" s="276" t="str">
        <f>A34</f>
        <v>в т.ч. поголовье бычков</v>
      </c>
      <c r="B42" s="271"/>
      <c r="C42" s="150"/>
      <c r="D42" s="272">
        <f>D34</f>
        <v>0.5</v>
      </c>
      <c r="E42" s="150">
        <f t="shared" ref="E42:L42" si="20">E41*$D$10</f>
        <v>0</v>
      </c>
      <c r="F42" s="150">
        <f t="shared" si="20"/>
        <v>0</v>
      </c>
      <c r="G42" s="150">
        <f t="shared" si="20"/>
        <v>0</v>
      </c>
      <c r="H42" s="150">
        <f t="shared" si="20"/>
        <v>0</v>
      </c>
      <c r="I42" s="150">
        <f t="shared" si="20"/>
        <v>0</v>
      </c>
      <c r="J42" s="150">
        <f t="shared" si="20"/>
        <v>12.487500000000002</v>
      </c>
      <c r="K42" s="150">
        <f t="shared" si="20"/>
        <v>11.587500000000002</v>
      </c>
      <c r="L42" s="275">
        <f t="shared" si="20"/>
        <v>8.2125000000000021</v>
      </c>
    </row>
    <row r="43" spans="1:12" ht="13.5" outlineLevel="1" thickBot="1">
      <c r="A43" s="277" t="str">
        <f>A35</f>
        <v>поголовье телок</v>
      </c>
      <c r="B43" s="278"/>
      <c r="C43" s="279"/>
      <c r="D43" s="286">
        <f>D35</f>
        <v>0.5</v>
      </c>
      <c r="E43" s="279">
        <f t="shared" ref="E43:L43" si="21">E41*$D$11</f>
        <v>0</v>
      </c>
      <c r="F43" s="279">
        <f t="shared" si="21"/>
        <v>0</v>
      </c>
      <c r="G43" s="279">
        <f t="shared" si="21"/>
        <v>0</v>
      </c>
      <c r="H43" s="279">
        <f t="shared" si="21"/>
        <v>0</v>
      </c>
      <c r="I43" s="279">
        <f t="shared" si="21"/>
        <v>0</v>
      </c>
      <c r="J43" s="279">
        <f t="shared" si="21"/>
        <v>12.487500000000002</v>
      </c>
      <c r="K43" s="279">
        <f t="shared" si="21"/>
        <v>11.587500000000002</v>
      </c>
      <c r="L43" s="280">
        <f t="shared" si="21"/>
        <v>8.2125000000000021</v>
      </c>
    </row>
    <row r="44" spans="1:12" ht="13.5" thickBot="1">
      <c r="A44" s="281" t="s">
        <v>265</v>
      </c>
      <c r="B44" s="282"/>
      <c r="C44" s="283"/>
      <c r="D44" s="284"/>
      <c r="E44" s="283"/>
      <c r="F44" s="283"/>
      <c r="G44" s="283"/>
      <c r="H44" s="283"/>
      <c r="I44" s="283"/>
      <c r="J44" s="283"/>
      <c r="K44" s="283"/>
      <c r="L44" s="285"/>
    </row>
    <row r="45" spans="1:12" outlineLevel="1">
      <c r="A45" s="263" t="str">
        <f>A37</f>
        <v>Поголовье коров</v>
      </c>
      <c r="B45" s="264"/>
      <c r="C45" s="265"/>
      <c r="D45" s="266"/>
      <c r="E45" s="268"/>
      <c r="F45" s="268"/>
      <c r="G45" s="268"/>
      <c r="H45" s="268"/>
      <c r="I45" s="268"/>
      <c r="J45" s="268"/>
      <c r="K45" s="268">
        <f>I11+I19+I27+I35</f>
        <v>28.181250000000006</v>
      </c>
      <c r="L45" s="269"/>
    </row>
    <row r="46" spans="1:12" outlineLevel="1">
      <c r="A46" s="270" t="str">
        <f>A38</f>
        <v>Выбраковка</v>
      </c>
      <c r="B46" s="271"/>
      <c r="C46" s="150"/>
      <c r="D46" s="272">
        <f>D38</f>
        <v>0.33333333333333331</v>
      </c>
      <c r="E46" s="150"/>
      <c r="F46" s="157"/>
      <c r="G46" s="157"/>
      <c r="H46" s="157"/>
      <c r="I46" s="157"/>
      <c r="J46" s="157"/>
      <c r="K46" s="157"/>
      <c r="L46" s="288"/>
    </row>
    <row r="47" spans="1:12" outlineLevel="1">
      <c r="A47" s="270" t="s">
        <v>255</v>
      </c>
      <c r="B47" s="271"/>
      <c r="C47" s="150"/>
      <c r="D47" s="272"/>
      <c r="E47" s="149"/>
      <c r="F47" s="149"/>
      <c r="G47" s="149"/>
      <c r="H47" s="149"/>
      <c r="I47" s="149"/>
      <c r="J47" s="149"/>
      <c r="K47" s="149"/>
      <c r="L47" s="274"/>
    </row>
    <row r="48" spans="1:12" outlineLevel="1">
      <c r="A48" s="270" t="str">
        <f>A40</f>
        <v>Поголовье коров</v>
      </c>
      <c r="B48" s="271"/>
      <c r="C48" s="150"/>
      <c r="D48" s="272"/>
      <c r="E48" s="150">
        <f>E45-E46-E47</f>
        <v>0</v>
      </c>
      <c r="F48" s="150">
        <f t="shared" ref="F48:L48" si="22">E48+F45-F46-F47</f>
        <v>0</v>
      </c>
      <c r="G48" s="150">
        <f t="shared" si="22"/>
        <v>0</v>
      </c>
      <c r="H48" s="150">
        <f t="shared" si="22"/>
        <v>0</v>
      </c>
      <c r="I48" s="150">
        <f t="shared" si="22"/>
        <v>0</v>
      </c>
      <c r="J48" s="150">
        <f t="shared" si="22"/>
        <v>0</v>
      </c>
      <c r="K48" s="150">
        <f t="shared" si="22"/>
        <v>28.181250000000006</v>
      </c>
      <c r="L48" s="275">
        <f t="shared" si="22"/>
        <v>28.181250000000006</v>
      </c>
    </row>
    <row r="49" spans="1:12" outlineLevel="1">
      <c r="A49" s="276" t="str">
        <f>A41</f>
        <v>Кол-во полученного приплода</v>
      </c>
      <c r="B49" s="271"/>
      <c r="C49" s="150"/>
      <c r="D49" s="272">
        <f>D41</f>
        <v>0.9</v>
      </c>
      <c r="E49" s="150">
        <f t="shared" ref="E49:L49" si="23">E48*$D$9</f>
        <v>0</v>
      </c>
      <c r="F49" s="150">
        <f t="shared" si="23"/>
        <v>0</v>
      </c>
      <c r="G49" s="150">
        <f t="shared" si="23"/>
        <v>0</v>
      </c>
      <c r="H49" s="150">
        <f t="shared" si="23"/>
        <v>0</v>
      </c>
      <c r="I49" s="150">
        <f t="shared" si="23"/>
        <v>0</v>
      </c>
      <c r="J49" s="150">
        <f t="shared" si="23"/>
        <v>0</v>
      </c>
      <c r="K49" s="150">
        <f t="shared" si="23"/>
        <v>25.363125000000007</v>
      </c>
      <c r="L49" s="275">
        <f t="shared" si="23"/>
        <v>25.363125000000007</v>
      </c>
    </row>
    <row r="50" spans="1:12" outlineLevel="1">
      <c r="A50" s="276" t="str">
        <f>A42</f>
        <v>в т.ч. поголовье бычков</v>
      </c>
      <c r="B50" s="271"/>
      <c r="C50" s="150"/>
      <c r="D50" s="272">
        <f>D42</f>
        <v>0.5</v>
      </c>
      <c r="E50" s="150">
        <f t="shared" ref="E50:L50" si="24">E49*$D$10</f>
        <v>0</v>
      </c>
      <c r="F50" s="150">
        <f t="shared" si="24"/>
        <v>0</v>
      </c>
      <c r="G50" s="150">
        <f t="shared" si="24"/>
        <v>0</v>
      </c>
      <c r="H50" s="150">
        <f t="shared" si="24"/>
        <v>0</v>
      </c>
      <c r="I50" s="150">
        <f t="shared" si="24"/>
        <v>0</v>
      </c>
      <c r="J50" s="150">
        <f t="shared" si="24"/>
        <v>0</v>
      </c>
      <c r="K50" s="150">
        <f t="shared" si="24"/>
        <v>12.681562500000004</v>
      </c>
      <c r="L50" s="275">
        <f t="shared" si="24"/>
        <v>12.681562500000004</v>
      </c>
    </row>
    <row r="51" spans="1:12" ht="13.5" outlineLevel="1" thickBot="1">
      <c r="A51" s="277" t="str">
        <f>A43</f>
        <v>поголовье телок</v>
      </c>
      <c r="B51" s="278"/>
      <c r="C51" s="279"/>
      <c r="D51" s="286">
        <f>D43</f>
        <v>0.5</v>
      </c>
      <c r="E51" s="279">
        <f t="shared" ref="E51:L51" si="25">E49*$D$11</f>
        <v>0</v>
      </c>
      <c r="F51" s="279">
        <f t="shared" si="25"/>
        <v>0</v>
      </c>
      <c r="G51" s="279">
        <f t="shared" si="25"/>
        <v>0</v>
      </c>
      <c r="H51" s="279">
        <f t="shared" si="25"/>
        <v>0</v>
      </c>
      <c r="I51" s="279">
        <f t="shared" si="25"/>
        <v>0</v>
      </c>
      <c r="J51" s="279">
        <f t="shared" si="25"/>
        <v>0</v>
      </c>
      <c r="K51" s="279">
        <f t="shared" si="25"/>
        <v>12.681562500000004</v>
      </c>
      <c r="L51" s="280">
        <f t="shared" si="25"/>
        <v>12.681562500000004</v>
      </c>
    </row>
    <row r="52" spans="1:12" ht="13.5" thickBot="1">
      <c r="A52" s="281" t="s">
        <v>266</v>
      </c>
      <c r="B52" s="282"/>
      <c r="C52" s="283"/>
      <c r="D52" s="284"/>
      <c r="E52" s="283"/>
      <c r="F52" s="283"/>
      <c r="G52" s="283"/>
      <c r="H52" s="283"/>
      <c r="I52" s="283"/>
      <c r="J52" s="283"/>
      <c r="K52" s="283"/>
      <c r="L52" s="285"/>
    </row>
    <row r="53" spans="1:12" outlineLevel="1">
      <c r="A53" s="263" t="str">
        <f>A45</f>
        <v>Поголовье коров</v>
      </c>
      <c r="B53" s="264"/>
      <c r="C53" s="265"/>
      <c r="D53" s="266"/>
      <c r="E53" s="268"/>
      <c r="F53" s="268"/>
      <c r="G53" s="268"/>
      <c r="H53" s="268"/>
      <c r="I53" s="268"/>
      <c r="J53" s="268"/>
      <c r="K53" s="268"/>
      <c r="L53" s="269">
        <f>J11+J19+J27+J35+J43</f>
        <v>33.91875000000001</v>
      </c>
    </row>
    <row r="54" spans="1:12" outlineLevel="1">
      <c r="A54" s="270" t="str">
        <f>A46</f>
        <v>Выбраковка</v>
      </c>
      <c r="B54" s="271"/>
      <c r="C54" s="150"/>
      <c r="D54" s="272">
        <f>D46</f>
        <v>0.33333333333333331</v>
      </c>
      <c r="E54" s="150"/>
      <c r="F54" s="157"/>
      <c r="G54" s="157"/>
      <c r="H54" s="157"/>
      <c r="I54" s="157"/>
      <c r="J54" s="157"/>
      <c r="K54" s="157"/>
      <c r="L54" s="288"/>
    </row>
    <row r="55" spans="1:12" outlineLevel="1">
      <c r="A55" s="270" t="s">
        <v>255</v>
      </c>
      <c r="B55" s="271"/>
      <c r="C55" s="150"/>
      <c r="D55" s="272"/>
      <c r="E55" s="149"/>
      <c r="F55" s="149"/>
      <c r="G55" s="149"/>
      <c r="H55" s="149"/>
      <c r="I55" s="149"/>
      <c r="J55" s="149"/>
      <c r="K55" s="149"/>
      <c r="L55" s="274"/>
    </row>
    <row r="56" spans="1:12" outlineLevel="1">
      <c r="A56" s="270" t="str">
        <f>A48</f>
        <v>Поголовье коров</v>
      </c>
      <c r="B56" s="271"/>
      <c r="C56" s="150"/>
      <c r="D56" s="272"/>
      <c r="E56" s="150">
        <f>E53-E54-E55</f>
        <v>0</v>
      </c>
      <c r="F56" s="150">
        <f t="shared" ref="F56:L56" si="26">E56+F53-F54-F55</f>
        <v>0</v>
      </c>
      <c r="G56" s="150">
        <f t="shared" si="26"/>
        <v>0</v>
      </c>
      <c r="H56" s="150">
        <f t="shared" si="26"/>
        <v>0</v>
      </c>
      <c r="I56" s="150">
        <f t="shared" si="26"/>
        <v>0</v>
      </c>
      <c r="J56" s="150">
        <f t="shared" si="26"/>
        <v>0</v>
      </c>
      <c r="K56" s="150">
        <f t="shared" si="26"/>
        <v>0</v>
      </c>
      <c r="L56" s="275">
        <f t="shared" si="26"/>
        <v>33.91875000000001</v>
      </c>
    </row>
    <row r="57" spans="1:12" outlineLevel="1">
      <c r="A57" s="276" t="str">
        <f>A49</f>
        <v>Кол-во полученного приплода</v>
      </c>
      <c r="B57" s="271"/>
      <c r="C57" s="150"/>
      <c r="D57" s="272">
        <f>D49</f>
        <v>0.9</v>
      </c>
      <c r="E57" s="150">
        <f t="shared" ref="E57:L57" si="27">E56*$D$9</f>
        <v>0</v>
      </c>
      <c r="F57" s="150">
        <f t="shared" si="27"/>
        <v>0</v>
      </c>
      <c r="G57" s="150">
        <f t="shared" si="27"/>
        <v>0</v>
      </c>
      <c r="H57" s="150">
        <f t="shared" si="27"/>
        <v>0</v>
      </c>
      <c r="I57" s="150">
        <f t="shared" si="27"/>
        <v>0</v>
      </c>
      <c r="J57" s="150">
        <f t="shared" si="27"/>
        <v>0</v>
      </c>
      <c r="K57" s="150">
        <f t="shared" si="27"/>
        <v>0</v>
      </c>
      <c r="L57" s="275">
        <f t="shared" si="27"/>
        <v>30.526875000000011</v>
      </c>
    </row>
    <row r="58" spans="1:12" outlineLevel="1">
      <c r="A58" s="276" t="str">
        <f>A50</f>
        <v>в т.ч. поголовье бычков</v>
      </c>
      <c r="B58" s="271"/>
      <c r="C58" s="150"/>
      <c r="D58" s="272">
        <f>D50</f>
        <v>0.5</v>
      </c>
      <c r="E58" s="150">
        <f t="shared" ref="E58:L58" si="28">E57*$D$10</f>
        <v>0</v>
      </c>
      <c r="F58" s="150">
        <f t="shared" si="28"/>
        <v>0</v>
      </c>
      <c r="G58" s="150">
        <f t="shared" si="28"/>
        <v>0</v>
      </c>
      <c r="H58" s="150">
        <f t="shared" si="28"/>
        <v>0</v>
      </c>
      <c r="I58" s="150">
        <f t="shared" si="28"/>
        <v>0</v>
      </c>
      <c r="J58" s="150">
        <f t="shared" si="28"/>
        <v>0</v>
      </c>
      <c r="K58" s="150">
        <f t="shared" si="28"/>
        <v>0</v>
      </c>
      <c r="L58" s="275">
        <f t="shared" si="28"/>
        <v>15.263437500000006</v>
      </c>
    </row>
    <row r="59" spans="1:12" ht="13.5" outlineLevel="1" thickBot="1">
      <c r="A59" s="277" t="str">
        <f>A51</f>
        <v>поголовье телок</v>
      </c>
      <c r="B59" s="278"/>
      <c r="C59" s="279"/>
      <c r="D59" s="286">
        <f>D51</f>
        <v>0.5</v>
      </c>
      <c r="E59" s="279">
        <f t="shared" ref="E59:L59" si="29">E57*$D$11</f>
        <v>0</v>
      </c>
      <c r="F59" s="279">
        <f t="shared" si="29"/>
        <v>0</v>
      </c>
      <c r="G59" s="279">
        <f t="shared" si="29"/>
        <v>0</v>
      </c>
      <c r="H59" s="279">
        <f t="shared" si="29"/>
        <v>0</v>
      </c>
      <c r="I59" s="279">
        <f t="shared" si="29"/>
        <v>0</v>
      </c>
      <c r="J59" s="279">
        <f t="shared" si="29"/>
        <v>0</v>
      </c>
      <c r="K59" s="279">
        <f t="shared" si="29"/>
        <v>0</v>
      </c>
      <c r="L59" s="280">
        <f t="shared" si="29"/>
        <v>15.263437500000006</v>
      </c>
    </row>
    <row r="60" spans="1:12" ht="13.5" thickBot="1">
      <c r="A60" s="289"/>
      <c r="B60" s="290"/>
      <c r="C60" s="291"/>
      <c r="D60" s="291"/>
      <c r="E60" s="291"/>
      <c r="F60" s="291"/>
      <c r="G60" s="291"/>
      <c r="H60" s="291"/>
      <c r="I60" s="291"/>
      <c r="J60" s="291"/>
      <c r="K60" s="291"/>
      <c r="L60" s="292"/>
    </row>
    <row r="61" spans="1:12">
      <c r="A61" s="263" t="s">
        <v>300</v>
      </c>
      <c r="B61" s="264"/>
      <c r="C61" s="265"/>
      <c r="D61" s="293"/>
      <c r="E61" s="265">
        <f>E10+E18+E26+E34+E42+E50+E58-E67</f>
        <v>22.5</v>
      </c>
      <c r="F61" s="265">
        <f t="shared" ref="F61:L61" si="30">E61+F10+F18+F26+F34+F42+F50+F58-F67</f>
        <v>22.5</v>
      </c>
      <c r="G61" s="265">
        <f t="shared" si="30"/>
        <v>25.125</v>
      </c>
      <c r="H61" s="265">
        <f t="shared" si="30"/>
        <v>27.75</v>
      </c>
      <c r="I61" s="265">
        <f t="shared" si="30"/>
        <v>28.181249999999995</v>
      </c>
      <c r="J61" s="265">
        <f t="shared" si="30"/>
        <v>33.918749999999996</v>
      </c>
      <c r="K61" s="265">
        <f t="shared" si="30"/>
        <v>35.575312499999988</v>
      </c>
      <c r="L61" s="269">
        <f t="shared" si="30"/>
        <v>40.71374999999999</v>
      </c>
    </row>
    <row r="62" spans="1:12">
      <c r="A62" s="276" t="s">
        <v>267</v>
      </c>
      <c r="B62" s="271"/>
      <c r="C62" s="150"/>
      <c r="D62" s="272"/>
      <c r="E62" s="150">
        <f>Исх!$C$29</f>
        <v>2</v>
      </c>
      <c r="F62" s="150">
        <f t="shared" ref="F62:L62" si="31">E62</f>
        <v>2</v>
      </c>
      <c r="G62" s="150">
        <f t="shared" si="31"/>
        <v>2</v>
      </c>
      <c r="H62" s="150">
        <f t="shared" si="31"/>
        <v>2</v>
      </c>
      <c r="I62" s="150">
        <f t="shared" si="31"/>
        <v>2</v>
      </c>
      <c r="J62" s="150">
        <f t="shared" si="31"/>
        <v>2</v>
      </c>
      <c r="K62" s="150">
        <f t="shared" si="31"/>
        <v>2</v>
      </c>
      <c r="L62" s="275">
        <f t="shared" si="31"/>
        <v>2</v>
      </c>
    </row>
    <row r="63" spans="1:12">
      <c r="A63" s="276" t="s">
        <v>299</v>
      </c>
      <c r="B63" s="271"/>
      <c r="C63" s="150"/>
      <c r="D63" s="272"/>
      <c r="E63" s="150">
        <f>E11+E19+E27+E35+E43+E51+E59-E68</f>
        <v>22.5</v>
      </c>
      <c r="F63" s="150">
        <f t="shared" ref="F63:L63" si="32">E63+F11+F19+F27+F35+F43+F51+F59-F68</f>
        <v>45</v>
      </c>
      <c r="G63" s="150">
        <f t="shared" si="32"/>
        <v>47.625</v>
      </c>
      <c r="H63" s="150">
        <f t="shared" si="32"/>
        <v>52.875</v>
      </c>
      <c r="I63" s="150">
        <f t="shared" si="32"/>
        <v>55.931250000000006</v>
      </c>
      <c r="J63" s="150">
        <f t="shared" si="32"/>
        <v>62.100000000000009</v>
      </c>
      <c r="K63" s="150">
        <f t="shared" si="32"/>
        <v>69.494062500000013</v>
      </c>
      <c r="L63" s="275">
        <f t="shared" si="32"/>
        <v>76.289062500000028</v>
      </c>
    </row>
    <row r="64" spans="1:12" ht="13.5" thickBot="1">
      <c r="A64" s="303" t="s">
        <v>256</v>
      </c>
      <c r="B64" s="304"/>
      <c r="C64" s="305"/>
      <c r="D64" s="306"/>
      <c r="E64" s="305">
        <f>E5</f>
        <v>50</v>
      </c>
      <c r="F64" s="305">
        <f t="shared" ref="F64:L64" si="33">E64+F68-F69-F70</f>
        <v>50</v>
      </c>
      <c r="G64" s="305">
        <f t="shared" si="33"/>
        <v>55.833333333333336</v>
      </c>
      <c r="H64" s="305">
        <f t="shared" si="33"/>
        <v>61.666666666666679</v>
      </c>
      <c r="I64" s="305">
        <f t="shared" si="33"/>
        <v>62.625000000000021</v>
      </c>
      <c r="J64" s="305">
        <f t="shared" si="33"/>
        <v>75.375000000000028</v>
      </c>
      <c r="K64" s="305">
        <f t="shared" si="33"/>
        <v>79.056250000000034</v>
      </c>
      <c r="L64" s="280">
        <f t="shared" si="33"/>
        <v>90.475000000000051</v>
      </c>
    </row>
    <row r="65" spans="1:18">
      <c r="A65" s="307" t="s">
        <v>304</v>
      </c>
      <c r="B65" s="308"/>
      <c r="C65" s="309"/>
      <c r="D65" s="310"/>
      <c r="E65" s="309">
        <f>E62+E64</f>
        <v>52</v>
      </c>
      <c r="F65" s="309">
        <f t="shared" ref="F65:L65" si="34">(E65+F62+F64)/2</f>
        <v>52</v>
      </c>
      <c r="G65" s="309">
        <f t="shared" si="34"/>
        <v>54.916666666666671</v>
      </c>
      <c r="H65" s="309">
        <f t="shared" si="34"/>
        <v>59.291666666666671</v>
      </c>
      <c r="I65" s="309">
        <f t="shared" si="34"/>
        <v>61.958333333333343</v>
      </c>
      <c r="J65" s="309">
        <f t="shared" si="34"/>
        <v>69.666666666666686</v>
      </c>
      <c r="K65" s="309">
        <f t="shared" si="34"/>
        <v>75.36145833333336</v>
      </c>
      <c r="L65" s="311">
        <f t="shared" si="34"/>
        <v>83.918229166666706</v>
      </c>
    </row>
    <row r="66" spans="1:18" ht="13.5" thickBot="1">
      <c r="A66" s="312" t="s">
        <v>305</v>
      </c>
      <c r="B66" s="313"/>
      <c r="C66" s="314"/>
      <c r="D66" s="315"/>
      <c r="E66" s="314">
        <f>E61+E63</f>
        <v>45</v>
      </c>
      <c r="F66" s="314">
        <f t="shared" ref="F66:L66" si="35">(E66+F61+F63)/2</f>
        <v>56.25</v>
      </c>
      <c r="G66" s="314">
        <f t="shared" si="35"/>
        <v>64.5</v>
      </c>
      <c r="H66" s="314">
        <f t="shared" si="35"/>
        <v>72.5625</v>
      </c>
      <c r="I66" s="314">
        <f t="shared" si="35"/>
        <v>78.337500000000006</v>
      </c>
      <c r="J66" s="314">
        <f t="shared" si="35"/>
        <v>87.178124999999994</v>
      </c>
      <c r="K66" s="314">
        <f t="shared" si="35"/>
        <v>96.123750000000001</v>
      </c>
      <c r="L66" s="316">
        <f t="shared" si="35"/>
        <v>106.56328125</v>
      </c>
    </row>
    <row r="67" spans="1:18">
      <c r="A67" s="263" t="s">
        <v>268</v>
      </c>
      <c r="B67" s="264"/>
      <c r="C67" s="265"/>
      <c r="D67" s="293"/>
      <c r="E67" s="265"/>
      <c r="F67" s="265">
        <f t="shared" ref="F67:L67" si="36">E10+E18+E26+E34+E42+E50+E58</f>
        <v>22.5</v>
      </c>
      <c r="G67" s="265">
        <f t="shared" si="36"/>
        <v>22.5</v>
      </c>
      <c r="H67" s="265">
        <f t="shared" si="36"/>
        <v>25.125</v>
      </c>
      <c r="I67" s="265">
        <f t="shared" si="36"/>
        <v>27.750000000000004</v>
      </c>
      <c r="J67" s="265">
        <f t="shared" si="36"/>
        <v>28.181250000000006</v>
      </c>
      <c r="K67" s="265">
        <f t="shared" si="36"/>
        <v>33.91875000000001</v>
      </c>
      <c r="L67" s="294">
        <f t="shared" si="36"/>
        <v>35.57531250000001</v>
      </c>
      <c r="N67" s="208" t="s">
        <v>301</v>
      </c>
    </row>
    <row r="68" spans="1:18">
      <c r="A68" s="276" t="s">
        <v>302</v>
      </c>
      <c r="B68" s="271"/>
      <c r="C68" s="150"/>
      <c r="D68" s="272"/>
      <c r="E68" s="150"/>
      <c r="F68" s="150"/>
      <c r="G68" s="150">
        <f t="shared" ref="G68:L68" si="37">E11+E19+E27+E35+E43+E51+E59</f>
        <v>22.5</v>
      </c>
      <c r="H68" s="150">
        <f t="shared" si="37"/>
        <v>22.5</v>
      </c>
      <c r="I68" s="150">
        <f t="shared" si="37"/>
        <v>25.125</v>
      </c>
      <c r="J68" s="150">
        <f t="shared" si="37"/>
        <v>27.750000000000004</v>
      </c>
      <c r="K68" s="150">
        <f t="shared" si="37"/>
        <v>28.181250000000006</v>
      </c>
      <c r="L68" s="275">
        <f t="shared" si="37"/>
        <v>33.91875000000001</v>
      </c>
      <c r="N68" s="78" t="s">
        <v>303</v>
      </c>
    </row>
    <row r="69" spans="1:18">
      <c r="A69" s="276" t="s">
        <v>269</v>
      </c>
      <c r="B69" s="271"/>
      <c r="C69" s="150"/>
      <c r="D69" s="272"/>
      <c r="E69" s="150">
        <f t="shared" ref="E69:L70" si="38">E6+E14+E22+E30+E38+E46+E54</f>
        <v>0</v>
      </c>
      <c r="F69" s="150">
        <f t="shared" si="38"/>
        <v>0</v>
      </c>
      <c r="G69" s="150">
        <f t="shared" si="38"/>
        <v>16.666666666666664</v>
      </c>
      <c r="H69" s="150">
        <f t="shared" si="38"/>
        <v>16.666666666666664</v>
      </c>
      <c r="I69" s="150">
        <f t="shared" si="38"/>
        <v>24.166666666666664</v>
      </c>
      <c r="J69" s="150">
        <f t="shared" si="38"/>
        <v>15</v>
      </c>
      <c r="K69" s="150">
        <f t="shared" si="38"/>
        <v>22.5</v>
      </c>
      <c r="L69" s="275">
        <f t="shared" si="38"/>
        <v>22.5</v>
      </c>
    </row>
    <row r="70" spans="1:18" ht="13.5" thickBot="1">
      <c r="A70" s="277" t="s">
        <v>270</v>
      </c>
      <c r="B70" s="278"/>
      <c r="C70" s="279"/>
      <c r="D70" s="286"/>
      <c r="E70" s="279">
        <f t="shared" si="38"/>
        <v>0</v>
      </c>
      <c r="F70" s="279">
        <f t="shared" si="38"/>
        <v>0</v>
      </c>
      <c r="G70" s="279">
        <f t="shared" si="38"/>
        <v>0</v>
      </c>
      <c r="H70" s="279">
        <f t="shared" si="38"/>
        <v>0</v>
      </c>
      <c r="I70" s="279">
        <f t="shared" si="38"/>
        <v>0</v>
      </c>
      <c r="J70" s="279">
        <f t="shared" si="38"/>
        <v>0</v>
      </c>
      <c r="K70" s="279">
        <f t="shared" si="38"/>
        <v>2</v>
      </c>
      <c r="L70" s="280">
        <f t="shared" si="38"/>
        <v>0</v>
      </c>
    </row>
    <row r="71" spans="1:18">
      <c r="B71" s="78"/>
    </row>
    <row r="72" spans="1:18">
      <c r="A72" s="62"/>
    </row>
    <row r="73" spans="1:18" ht="25.5">
      <c r="A73" s="320" t="s">
        <v>308</v>
      </c>
      <c r="B73" s="321"/>
      <c r="C73" s="318" t="s">
        <v>311</v>
      </c>
      <c r="D73" s="318" t="s">
        <v>312</v>
      </c>
      <c r="E73" s="330">
        <f>E3</f>
        <v>2012</v>
      </c>
      <c r="F73" s="330">
        <f t="shared" ref="F73:L73" si="39">F3</f>
        <v>2013</v>
      </c>
      <c r="G73" s="330">
        <f t="shared" si="39"/>
        <v>2014</v>
      </c>
      <c r="H73" s="330">
        <f t="shared" si="39"/>
        <v>2015</v>
      </c>
      <c r="I73" s="330">
        <f t="shared" si="39"/>
        <v>2016</v>
      </c>
      <c r="J73" s="330">
        <f t="shared" si="39"/>
        <v>2017</v>
      </c>
      <c r="K73" s="330">
        <f t="shared" si="39"/>
        <v>2018</v>
      </c>
      <c r="L73" s="330">
        <f t="shared" si="39"/>
        <v>2019</v>
      </c>
      <c r="M73" s="302"/>
    </row>
    <row r="74" spans="1:18">
      <c r="A74" s="81" t="s">
        <v>256</v>
      </c>
      <c r="B74" s="83"/>
      <c r="C74" s="299"/>
      <c r="D74" s="272">
        <f>Исх!$C$24</f>
        <v>0.9</v>
      </c>
      <c r="E74" s="150">
        <f>E64*$D$74</f>
        <v>45</v>
      </c>
      <c r="F74" s="150">
        <f>F64*$D$74</f>
        <v>45</v>
      </c>
      <c r="G74" s="150">
        <f t="shared" ref="G74:L74" si="40">G64*$D$74</f>
        <v>50.25</v>
      </c>
      <c r="H74" s="150">
        <f t="shared" si="40"/>
        <v>55.500000000000014</v>
      </c>
      <c r="I74" s="150">
        <f t="shared" si="40"/>
        <v>56.362500000000018</v>
      </c>
      <c r="J74" s="150">
        <f t="shared" si="40"/>
        <v>67.837500000000034</v>
      </c>
      <c r="K74" s="150">
        <f t="shared" si="40"/>
        <v>71.150625000000034</v>
      </c>
      <c r="L74" s="150">
        <f t="shared" si="40"/>
        <v>81.427500000000052</v>
      </c>
      <c r="M74" s="302"/>
    </row>
    <row r="75" spans="1:18">
      <c r="A75" s="159" t="s">
        <v>309</v>
      </c>
      <c r="B75" s="319" t="s">
        <v>310</v>
      </c>
      <c r="C75" s="324">
        <f>Исх!$C$27</f>
        <v>5820</v>
      </c>
      <c r="D75" s="324"/>
      <c r="E75" s="324">
        <f>E74*$C$75</f>
        <v>261900</v>
      </c>
      <c r="F75" s="324">
        <f>F74*$C$75</f>
        <v>261900</v>
      </c>
      <c r="G75" s="324">
        <f t="shared" ref="G75:L75" si="41">G74*$C$75</f>
        <v>292455</v>
      </c>
      <c r="H75" s="324">
        <f t="shared" si="41"/>
        <v>323010.00000000006</v>
      </c>
      <c r="I75" s="324">
        <f t="shared" si="41"/>
        <v>328029.75000000012</v>
      </c>
      <c r="J75" s="324">
        <f t="shared" si="41"/>
        <v>394814.25000000017</v>
      </c>
      <c r="K75" s="324">
        <f t="shared" si="41"/>
        <v>414096.63750000019</v>
      </c>
      <c r="L75" s="324">
        <f t="shared" si="41"/>
        <v>473908.05000000028</v>
      </c>
    </row>
    <row r="77" spans="1:18">
      <c r="A77" s="227" t="s">
        <v>307</v>
      </c>
      <c r="B77" s="252"/>
      <c r="C77" s="322" t="s">
        <v>271</v>
      </c>
      <c r="D77" s="323" t="s">
        <v>272</v>
      </c>
      <c r="E77" s="322">
        <f>E73</f>
        <v>2012</v>
      </c>
      <c r="F77" s="322">
        <f t="shared" ref="F77:L77" si="42">F73</f>
        <v>2013</v>
      </c>
      <c r="G77" s="322">
        <f t="shared" si="42"/>
        <v>2014</v>
      </c>
      <c r="H77" s="322">
        <f t="shared" si="42"/>
        <v>2015</v>
      </c>
      <c r="I77" s="322">
        <f t="shared" si="42"/>
        <v>2016</v>
      </c>
      <c r="J77" s="322">
        <f t="shared" si="42"/>
        <v>2017</v>
      </c>
      <c r="K77" s="322">
        <f t="shared" si="42"/>
        <v>2018</v>
      </c>
      <c r="L77" s="322">
        <f t="shared" si="42"/>
        <v>2019</v>
      </c>
      <c r="M77" s="340">
        <f>SUM(M78:M79)</f>
        <v>21.516903281250002</v>
      </c>
      <c r="O77" s="78" t="s">
        <v>273</v>
      </c>
    </row>
    <row r="78" spans="1:18">
      <c r="A78" s="81" t="s">
        <v>274</v>
      </c>
      <c r="B78" s="83" t="s">
        <v>275</v>
      </c>
      <c r="C78" s="249">
        <f>Исх!C21</f>
        <v>650</v>
      </c>
      <c r="D78" s="272">
        <f>Исх!$C$22</f>
        <v>0.56999999999999995</v>
      </c>
      <c r="E78" s="150">
        <f t="shared" ref="E78:L78" si="43">E67*$C$78*$D$78</f>
        <v>0</v>
      </c>
      <c r="F78" s="150">
        <f t="shared" si="43"/>
        <v>8336.25</v>
      </c>
      <c r="G78" s="150">
        <f t="shared" si="43"/>
        <v>8336.25</v>
      </c>
      <c r="H78" s="150">
        <f t="shared" si="43"/>
        <v>9308.8125</v>
      </c>
      <c r="I78" s="150">
        <f t="shared" si="43"/>
        <v>10281.375000000002</v>
      </c>
      <c r="J78" s="150">
        <f t="shared" si="43"/>
        <v>10441.153125000001</v>
      </c>
      <c r="K78" s="150">
        <f t="shared" si="43"/>
        <v>12566.896875000002</v>
      </c>
      <c r="L78" s="150">
        <f t="shared" si="43"/>
        <v>13180.653281250003</v>
      </c>
      <c r="M78" s="341">
        <f>L78/1000</f>
        <v>13.180653281250002</v>
      </c>
      <c r="O78" s="78">
        <f>90/12/4</f>
        <v>1.875</v>
      </c>
      <c r="P78" s="298" t="s">
        <v>276</v>
      </c>
      <c r="Q78" s="345">
        <f>2/0.4</f>
        <v>5</v>
      </c>
      <c r="R78" s="78" t="s">
        <v>277</v>
      </c>
    </row>
    <row r="79" spans="1:18">
      <c r="A79" s="81" t="s">
        <v>278</v>
      </c>
      <c r="B79" s="83" t="s">
        <v>275</v>
      </c>
      <c r="C79" s="249">
        <f>C78</f>
        <v>650</v>
      </c>
      <c r="D79" s="272">
        <f>D78</f>
        <v>0.56999999999999995</v>
      </c>
      <c r="E79" s="150">
        <f t="shared" ref="E79:L79" si="44">(E69+E70)*$C$79*$D$79</f>
        <v>0</v>
      </c>
      <c r="F79" s="150">
        <f t="shared" si="44"/>
        <v>0</v>
      </c>
      <c r="G79" s="150">
        <f t="shared" si="44"/>
        <v>6174.9999999999991</v>
      </c>
      <c r="H79" s="150">
        <f t="shared" si="44"/>
        <v>6174.9999999999991</v>
      </c>
      <c r="I79" s="150">
        <f t="shared" si="44"/>
        <v>8953.7499999999982</v>
      </c>
      <c r="J79" s="150">
        <f t="shared" si="44"/>
        <v>5557.4999999999991</v>
      </c>
      <c r="K79" s="150">
        <f t="shared" si="44"/>
        <v>9077.25</v>
      </c>
      <c r="L79" s="150">
        <f t="shared" si="44"/>
        <v>8336.25</v>
      </c>
      <c r="M79" s="341">
        <f>L79/1000</f>
        <v>8.3362499999999997</v>
      </c>
    </row>
    <row r="80" spans="1:18">
      <c r="A80" s="159" t="s">
        <v>0</v>
      </c>
      <c r="B80" s="319"/>
      <c r="C80" s="324"/>
      <c r="D80" s="325"/>
      <c r="E80" s="324">
        <f>SUM(E78:E79)</f>
        <v>0</v>
      </c>
      <c r="F80" s="324">
        <f t="shared" ref="F80:L80" si="45">SUM(F78:F79)</f>
        <v>8336.25</v>
      </c>
      <c r="G80" s="324">
        <f t="shared" si="45"/>
        <v>14511.25</v>
      </c>
      <c r="H80" s="324">
        <f t="shared" si="45"/>
        <v>15483.8125</v>
      </c>
      <c r="I80" s="324">
        <f t="shared" si="45"/>
        <v>19235.125</v>
      </c>
      <c r="J80" s="324">
        <f t="shared" si="45"/>
        <v>15998.653125000001</v>
      </c>
      <c r="K80" s="324">
        <f t="shared" si="45"/>
        <v>21644.146875000002</v>
      </c>
      <c r="L80" s="324">
        <f t="shared" si="45"/>
        <v>21516.903281250001</v>
      </c>
      <c r="M80" s="342" t="s">
        <v>375</v>
      </c>
      <c r="O80" s="181" t="s">
        <v>279</v>
      </c>
      <c r="P80" s="343"/>
      <c r="Q80" s="343"/>
      <c r="R80" s="344"/>
    </row>
    <row r="81" spans="1:2">
      <c r="B81" s="78"/>
    </row>
    <row r="82" spans="1:2">
      <c r="A82" s="62" t="s">
        <v>285</v>
      </c>
    </row>
    <row r="83" spans="1:2">
      <c r="A83" s="170" t="s">
        <v>286</v>
      </c>
      <c r="B83" s="300">
        <f>MAX(E65:L65)+MAX(E66:L66)</f>
        <v>190.48151041666671</v>
      </c>
    </row>
    <row r="84" spans="1:2">
      <c r="A84" s="170" t="s">
        <v>365</v>
      </c>
      <c r="B84" s="300">
        <f>L65</f>
        <v>83.918229166666706</v>
      </c>
    </row>
    <row r="85" spans="1:2">
      <c r="A85" s="170" t="s">
        <v>366</v>
      </c>
      <c r="B85" s="300">
        <f>L66</f>
        <v>106.56328125</v>
      </c>
    </row>
    <row r="86" spans="1:2">
      <c r="A86" s="170" t="s">
        <v>367</v>
      </c>
      <c r="B86" s="301">
        <v>7</v>
      </c>
    </row>
    <row r="87" spans="1:2">
      <c r="A87" s="170" t="s">
        <v>368</v>
      </c>
      <c r="B87" s="301">
        <f>B86/2</f>
        <v>3.5</v>
      </c>
    </row>
    <row r="88" spans="1:2" ht="13.5" customHeight="1">
      <c r="A88" s="170" t="s">
        <v>369</v>
      </c>
      <c r="B88" s="255">
        <v>40</v>
      </c>
    </row>
    <row r="89" spans="1:2" ht="13.5" customHeight="1">
      <c r="A89" s="170" t="s">
        <v>370</v>
      </c>
      <c r="B89" s="255">
        <v>30</v>
      </c>
    </row>
    <row r="90" spans="1:2" ht="13.5" customHeight="1">
      <c r="A90" s="170" t="s">
        <v>371</v>
      </c>
      <c r="B90" s="255">
        <v>30</v>
      </c>
    </row>
    <row r="91" spans="1:2" ht="12.75" customHeight="1">
      <c r="A91" s="170" t="s">
        <v>313</v>
      </c>
      <c r="B91" s="300">
        <f>B84*B86+B85*B87+B88+B89+B90</f>
        <v>1060.399088541667</v>
      </c>
    </row>
  </sheetData>
  <pageMargins left="0.70866141732283472" right="0.70866141732283472" top="0.34" bottom="0.39370078740157483" header="0.26" footer="0.31496062992125984"/>
  <pageSetup paperSize="9" orientation="landscape" r:id="rId1"/>
  <picture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M37"/>
  <sheetViews>
    <sheetView showGridLines="0" zoomScaleNormal="100" workbookViewId="0">
      <pane xSplit="1" ySplit="4" topLeftCell="B5" activePane="bottomRight" state="frozen"/>
      <selection activeCell="A34" sqref="A34"/>
      <selection pane="topRight" activeCell="A34" sqref="A34"/>
      <selection pane="bottomLeft" activeCell="A34" sqref="A34"/>
      <selection pane="bottomRight" activeCell="K11" sqref="K11:K28"/>
    </sheetView>
  </sheetViews>
  <sheetFormatPr defaultRowHeight="12.75"/>
  <cols>
    <col min="1" max="1" width="5.5703125" style="78" customWidth="1"/>
    <col min="2" max="2" width="33.42578125" style="78" customWidth="1"/>
    <col min="3" max="3" width="10" style="78" customWidth="1"/>
    <col min="4" max="4" width="11.5703125" style="78" customWidth="1"/>
    <col min="5" max="5" width="12.7109375" style="78" customWidth="1"/>
    <col min="6" max="9" width="11.5703125" style="78" customWidth="1"/>
    <col min="10" max="10" width="10.140625" style="78" customWidth="1"/>
    <col min="11" max="11" width="12" style="78" customWidth="1"/>
    <col min="12" max="12" width="4.85546875" style="78" customWidth="1"/>
    <col min="13" max="16384" width="9.140625" style="78"/>
  </cols>
  <sheetData>
    <row r="1" spans="1:13" ht="5.25" customHeight="1"/>
    <row r="2" spans="1:13" ht="16.5" customHeight="1">
      <c r="A2" s="62" t="s">
        <v>165</v>
      </c>
      <c r="D2" s="169"/>
      <c r="E2" s="169"/>
      <c r="F2" s="169"/>
      <c r="G2" s="169"/>
      <c r="H2" s="169"/>
      <c r="I2" s="169"/>
      <c r="J2" s="169"/>
      <c r="K2" s="151" t="str">
        <f>Исх!C9</f>
        <v>тыс.тг.</v>
      </c>
    </row>
    <row r="3" spans="1:13" ht="8.2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3" ht="42.6" customHeight="1">
      <c r="A4" s="153" t="s">
        <v>40</v>
      </c>
      <c r="B4" s="154" t="s">
        <v>41</v>
      </c>
      <c r="C4" s="231" t="s">
        <v>42</v>
      </c>
      <c r="D4" s="155" t="s">
        <v>103</v>
      </c>
      <c r="E4" s="155" t="s">
        <v>104</v>
      </c>
      <c r="F4" s="155" t="s">
        <v>52</v>
      </c>
      <c r="G4" s="155" t="s">
        <v>53</v>
      </c>
      <c r="H4" s="155" t="s">
        <v>54</v>
      </c>
      <c r="I4" s="155" t="s">
        <v>55</v>
      </c>
      <c r="J4" s="155" t="s">
        <v>56</v>
      </c>
      <c r="K4" s="155" t="s">
        <v>49</v>
      </c>
      <c r="M4" s="335">
        <f>'1-Ф3'!B2</f>
        <v>0</v>
      </c>
    </row>
    <row r="5" spans="1:13" s="62" customFormat="1">
      <c r="A5" s="147"/>
      <c r="B5" s="156" t="s">
        <v>102</v>
      </c>
      <c r="C5" s="147"/>
      <c r="D5" s="147"/>
      <c r="E5" s="147"/>
      <c r="F5" s="147"/>
      <c r="G5" s="147"/>
      <c r="H5" s="147"/>
      <c r="I5" s="147"/>
      <c r="J5" s="147"/>
      <c r="K5" s="147"/>
    </row>
    <row r="6" spans="1:13">
      <c r="A6" s="81">
        <v>1</v>
      </c>
      <c r="B6" s="81" t="s">
        <v>129</v>
      </c>
      <c r="C6" s="81">
        <v>1</v>
      </c>
      <c r="D6" s="149">
        <v>110</v>
      </c>
      <c r="E6" s="157">
        <f>C6*D6</f>
        <v>110</v>
      </c>
      <c r="F6" s="157">
        <f>E6*$C$32</f>
        <v>11</v>
      </c>
      <c r="G6" s="157">
        <f>(E6-$C$36-F6)*$C$34</f>
        <v>8.3001000000000005</v>
      </c>
      <c r="H6" s="157">
        <f>(E6-F6)*$C$33</f>
        <v>4.95</v>
      </c>
      <c r="I6" s="157">
        <f>((E6-F6)*$C$35-H6)*0.3</f>
        <v>1.782</v>
      </c>
      <c r="J6" s="157">
        <f>E6-F6-G6</f>
        <v>90.6999</v>
      </c>
      <c r="K6" s="158">
        <f>SUM(F6:J6)</f>
        <v>116.732</v>
      </c>
    </row>
    <row r="7" spans="1:13">
      <c r="A7" s="81">
        <v>2</v>
      </c>
      <c r="B7" s="81" t="s">
        <v>236</v>
      </c>
      <c r="C7" s="81">
        <v>1</v>
      </c>
      <c r="D7" s="149">
        <v>60</v>
      </c>
      <c r="E7" s="157">
        <f>C7*D7</f>
        <v>60</v>
      </c>
      <c r="F7" s="157">
        <f>E7*$C$32</f>
        <v>6</v>
      </c>
      <c r="G7" s="157">
        <f>(E7-$C$36-F7)*$C$34</f>
        <v>3.8001</v>
      </c>
      <c r="H7" s="157">
        <f>(E7-F7)*$C$33</f>
        <v>2.7</v>
      </c>
      <c r="I7" s="157">
        <f t="shared" ref="I7:I8" si="0">((E7-F7)*$C$35-H7)*0.3</f>
        <v>0.97199999999999998</v>
      </c>
      <c r="J7" s="157">
        <f>E7-F7-G7</f>
        <v>50.1999</v>
      </c>
      <c r="K7" s="158">
        <f>SUM(F7:J7)</f>
        <v>63.671999999999997</v>
      </c>
    </row>
    <row r="8" spans="1:13">
      <c r="A8" s="81">
        <v>3</v>
      </c>
      <c r="B8" s="81" t="s">
        <v>237</v>
      </c>
      <c r="C8" s="81">
        <v>1</v>
      </c>
      <c r="D8" s="149">
        <v>65</v>
      </c>
      <c r="E8" s="157">
        <f>C8*D8</f>
        <v>65</v>
      </c>
      <c r="F8" s="157">
        <f>E8*$C$32</f>
        <v>6.5</v>
      </c>
      <c r="G8" s="157">
        <f>(E8-$C$36-F8)*$C$34</f>
        <v>4.2500999999999998</v>
      </c>
      <c r="H8" s="157">
        <f>(E8-F8)*$C$33</f>
        <v>2.9250000000000003</v>
      </c>
      <c r="I8" s="157">
        <f t="shared" si="0"/>
        <v>1.0529999999999997</v>
      </c>
      <c r="J8" s="157">
        <f>E8-F8-G8</f>
        <v>54.249899999999997</v>
      </c>
      <c r="K8" s="158">
        <f>SUM(F8:J8)</f>
        <v>68.977999999999994</v>
      </c>
    </row>
    <row r="9" spans="1:13" s="62" customFormat="1">
      <c r="A9" s="159"/>
      <c r="B9" s="159" t="s">
        <v>0</v>
      </c>
      <c r="C9" s="31">
        <f t="shared" ref="C9:K9" si="1">SUM(C6:C8)</f>
        <v>3</v>
      </c>
      <c r="D9" s="31">
        <f t="shared" si="1"/>
        <v>235</v>
      </c>
      <c r="E9" s="31">
        <f t="shared" si="1"/>
        <v>235</v>
      </c>
      <c r="F9" s="31">
        <f t="shared" si="1"/>
        <v>23.5</v>
      </c>
      <c r="G9" s="31">
        <f t="shared" si="1"/>
        <v>16.350300000000001</v>
      </c>
      <c r="H9" s="31">
        <f t="shared" si="1"/>
        <v>10.575000000000001</v>
      </c>
      <c r="I9" s="31">
        <f t="shared" si="1"/>
        <v>3.8069999999999995</v>
      </c>
      <c r="J9" s="31">
        <f t="shared" si="1"/>
        <v>195.1497</v>
      </c>
      <c r="K9" s="31">
        <f t="shared" si="1"/>
        <v>249.38200000000001</v>
      </c>
    </row>
    <row r="10" spans="1:13" s="62" customFormat="1">
      <c r="A10" s="147"/>
      <c r="B10" s="147" t="s">
        <v>110</v>
      </c>
      <c r="C10" s="147"/>
      <c r="D10" s="148"/>
      <c r="E10" s="148"/>
      <c r="F10" s="148"/>
      <c r="G10" s="148"/>
      <c r="H10" s="148"/>
      <c r="I10" s="148"/>
      <c r="J10" s="148"/>
      <c r="K10" s="148"/>
      <c r="M10" s="334" t="s">
        <v>339</v>
      </c>
    </row>
    <row r="11" spans="1:13">
      <c r="A11" s="81">
        <v>1</v>
      </c>
      <c r="B11" s="81" t="s">
        <v>321</v>
      </c>
      <c r="C11" s="81">
        <v>1</v>
      </c>
      <c r="D11" s="149">
        <v>80</v>
      </c>
      <c r="E11" s="157">
        <f t="shared" ref="E11:E16" si="2">C11*D11</f>
        <v>80</v>
      </c>
      <c r="F11" s="157">
        <f t="shared" ref="F11:F16" si="3">E11*$C$32</f>
        <v>8</v>
      </c>
      <c r="G11" s="157">
        <f t="shared" ref="G11:G16" si="4">(E11-$C$36-F11)*$C$34</f>
        <v>5.6001000000000012</v>
      </c>
      <c r="H11" s="157">
        <f t="shared" ref="H11:H16" si="5">(E11-F11)*$C$33</f>
        <v>3.6</v>
      </c>
      <c r="I11" s="157">
        <f t="shared" ref="I11:I16" si="6">((E11-F11)*$C$35-H11)*0.3</f>
        <v>1.296</v>
      </c>
      <c r="J11" s="157">
        <f t="shared" ref="J11:J16" si="7">E11-F11-G11</f>
        <v>66.399900000000002</v>
      </c>
      <c r="K11" s="158">
        <f t="shared" ref="K11:K16" si="8">SUM(F11:J11)</f>
        <v>84.896000000000001</v>
      </c>
    </row>
    <row r="12" spans="1:13">
      <c r="A12" s="81">
        <v>2</v>
      </c>
      <c r="B12" s="81" t="s">
        <v>322</v>
      </c>
      <c r="C12" s="157">
        <v>1</v>
      </c>
      <c r="D12" s="149">
        <v>60</v>
      </c>
      <c r="E12" s="157">
        <f t="shared" si="2"/>
        <v>60</v>
      </c>
      <c r="F12" s="157">
        <f t="shared" si="3"/>
        <v>6</v>
      </c>
      <c r="G12" s="157">
        <f t="shared" si="4"/>
        <v>3.8001</v>
      </c>
      <c r="H12" s="157">
        <f t="shared" si="5"/>
        <v>2.7</v>
      </c>
      <c r="I12" s="157">
        <f t="shared" si="6"/>
        <v>0.97199999999999998</v>
      </c>
      <c r="J12" s="157">
        <f t="shared" si="7"/>
        <v>50.1999</v>
      </c>
      <c r="K12" s="158">
        <f t="shared" si="8"/>
        <v>63.671999999999997</v>
      </c>
    </row>
    <row r="13" spans="1:13">
      <c r="A13" s="81">
        <v>3</v>
      </c>
      <c r="B13" s="81" t="s">
        <v>324</v>
      </c>
      <c r="C13" s="157">
        <v>5</v>
      </c>
      <c r="D13" s="149">
        <v>50</v>
      </c>
      <c r="E13" s="157">
        <f t="shared" si="2"/>
        <v>250</v>
      </c>
      <c r="F13" s="157">
        <f t="shared" si="3"/>
        <v>25</v>
      </c>
      <c r="G13" s="157">
        <f t="shared" si="4"/>
        <v>20.900100000000002</v>
      </c>
      <c r="H13" s="157">
        <f t="shared" si="5"/>
        <v>11.25</v>
      </c>
      <c r="I13" s="157">
        <f t="shared" si="6"/>
        <v>4.05</v>
      </c>
      <c r="J13" s="157">
        <f t="shared" si="7"/>
        <v>204.09989999999999</v>
      </c>
      <c r="K13" s="158">
        <f t="shared" si="8"/>
        <v>265.3</v>
      </c>
    </row>
    <row r="14" spans="1:13">
      <c r="A14" s="81">
        <v>4</v>
      </c>
      <c r="B14" s="81" t="s">
        <v>323</v>
      </c>
      <c r="C14" s="157">
        <v>3</v>
      </c>
      <c r="D14" s="149">
        <v>50</v>
      </c>
      <c r="E14" s="157">
        <f t="shared" si="2"/>
        <v>150</v>
      </c>
      <c r="F14" s="157">
        <f t="shared" si="3"/>
        <v>15</v>
      </c>
      <c r="G14" s="157">
        <f t="shared" si="4"/>
        <v>11.900100000000002</v>
      </c>
      <c r="H14" s="157">
        <f t="shared" si="5"/>
        <v>6.75</v>
      </c>
      <c r="I14" s="157">
        <f t="shared" si="6"/>
        <v>2.4299999999999997</v>
      </c>
      <c r="J14" s="157">
        <f t="shared" si="7"/>
        <v>123.09989999999999</v>
      </c>
      <c r="K14" s="158">
        <f t="shared" si="8"/>
        <v>159.18</v>
      </c>
    </row>
    <row r="15" spans="1:13">
      <c r="A15" s="81">
        <v>5</v>
      </c>
      <c r="B15" s="81" t="s">
        <v>239</v>
      </c>
      <c r="C15" s="157">
        <v>2</v>
      </c>
      <c r="D15" s="149">
        <v>35</v>
      </c>
      <c r="E15" s="157">
        <f t="shared" si="2"/>
        <v>70</v>
      </c>
      <c r="F15" s="157">
        <f t="shared" si="3"/>
        <v>7</v>
      </c>
      <c r="G15" s="157">
        <f t="shared" si="4"/>
        <v>4.7000999999999999</v>
      </c>
      <c r="H15" s="157">
        <f t="shared" si="5"/>
        <v>3.1500000000000004</v>
      </c>
      <c r="I15" s="157">
        <f t="shared" si="6"/>
        <v>1.1339999999999997</v>
      </c>
      <c r="J15" s="157">
        <f t="shared" si="7"/>
        <v>58.299900000000001</v>
      </c>
      <c r="K15" s="158">
        <f t="shared" si="8"/>
        <v>74.284000000000006</v>
      </c>
    </row>
    <row r="16" spans="1:13">
      <c r="A16" s="81">
        <v>6</v>
      </c>
      <c r="B16" s="81" t="s">
        <v>325</v>
      </c>
      <c r="C16" s="157">
        <v>1</v>
      </c>
      <c r="D16" s="149">
        <v>55</v>
      </c>
      <c r="E16" s="157">
        <f t="shared" si="2"/>
        <v>55</v>
      </c>
      <c r="F16" s="157">
        <f t="shared" si="3"/>
        <v>5.5</v>
      </c>
      <c r="G16" s="157">
        <f t="shared" si="4"/>
        <v>3.3500999999999999</v>
      </c>
      <c r="H16" s="157">
        <f t="shared" si="5"/>
        <v>2.4750000000000001</v>
      </c>
      <c r="I16" s="157">
        <f t="shared" si="6"/>
        <v>0.89100000000000001</v>
      </c>
      <c r="J16" s="157">
        <f t="shared" si="7"/>
        <v>46.149900000000002</v>
      </c>
      <c r="K16" s="158">
        <f t="shared" si="8"/>
        <v>58.366</v>
      </c>
    </row>
    <row r="17" spans="1:13" s="62" customFormat="1">
      <c r="A17" s="159"/>
      <c r="B17" s="160" t="s">
        <v>0</v>
      </c>
      <c r="C17" s="159">
        <f t="shared" ref="C17:K17" si="9">SUM(C10:C16)</f>
        <v>13</v>
      </c>
      <c r="D17" s="158">
        <f t="shared" si="9"/>
        <v>330</v>
      </c>
      <c r="E17" s="158">
        <f t="shared" si="9"/>
        <v>665</v>
      </c>
      <c r="F17" s="158">
        <f t="shared" si="9"/>
        <v>66.5</v>
      </c>
      <c r="G17" s="158">
        <f t="shared" si="9"/>
        <v>50.250599999999999</v>
      </c>
      <c r="H17" s="158">
        <f t="shared" si="9"/>
        <v>29.925000000000004</v>
      </c>
      <c r="I17" s="158">
        <f t="shared" si="9"/>
        <v>10.773</v>
      </c>
      <c r="J17" s="158">
        <f t="shared" si="9"/>
        <v>548.24939999999992</v>
      </c>
      <c r="K17" s="158">
        <f t="shared" si="9"/>
        <v>705.69799999999998</v>
      </c>
    </row>
    <row r="18" spans="1:13" s="62" customFormat="1">
      <c r="A18" s="147"/>
      <c r="B18" s="147" t="s">
        <v>111</v>
      </c>
      <c r="C18" s="147"/>
      <c r="D18" s="148"/>
      <c r="E18" s="148"/>
      <c r="F18" s="148"/>
      <c r="G18" s="148"/>
      <c r="H18" s="148"/>
      <c r="I18" s="148"/>
      <c r="J18" s="148"/>
      <c r="K18" s="148"/>
    </row>
    <row r="19" spans="1:13">
      <c r="A19" s="81">
        <v>1</v>
      </c>
      <c r="B19" s="81" t="s">
        <v>224</v>
      </c>
      <c r="C19" s="81">
        <v>2</v>
      </c>
      <c r="D19" s="149">
        <v>50</v>
      </c>
      <c r="E19" s="157">
        <f>C19*D19</f>
        <v>100</v>
      </c>
      <c r="F19" s="157">
        <f>E19*$C$32</f>
        <v>10</v>
      </c>
      <c r="G19" s="157">
        <f>(E19-$C$36-F19)*$C$34</f>
        <v>7.400100000000001</v>
      </c>
      <c r="H19" s="157">
        <f>(E19-F19)*$C$33</f>
        <v>4.5</v>
      </c>
      <c r="I19" s="157">
        <f t="shared" ref="I19:I21" si="10">((E19-F19)*$C$35-H19)*0.3</f>
        <v>1.62</v>
      </c>
      <c r="J19" s="157">
        <f>E19-F19-G19</f>
        <v>82.599900000000005</v>
      </c>
      <c r="K19" s="158">
        <f>SUM(F19:J19)</f>
        <v>106.12</v>
      </c>
    </row>
    <row r="20" spans="1:13">
      <c r="A20" s="81">
        <v>2</v>
      </c>
      <c r="B20" s="81" t="s">
        <v>238</v>
      </c>
      <c r="C20" s="157">
        <v>2</v>
      </c>
      <c r="D20" s="149">
        <v>30</v>
      </c>
      <c r="E20" s="157">
        <f>C20*D20</f>
        <v>60</v>
      </c>
      <c r="F20" s="157">
        <f>E20*$C$32</f>
        <v>6</v>
      </c>
      <c r="G20" s="157">
        <f>(E20-$C$36-F20)*$C$34</f>
        <v>3.8001</v>
      </c>
      <c r="H20" s="157">
        <f>(E20-F20)*$C$33</f>
        <v>2.7</v>
      </c>
      <c r="I20" s="157">
        <f t="shared" si="10"/>
        <v>0.97199999999999998</v>
      </c>
      <c r="J20" s="157">
        <f>E20-F20-G20</f>
        <v>50.1999</v>
      </c>
      <c r="K20" s="158">
        <f>SUM(F20:J20)</f>
        <v>63.671999999999997</v>
      </c>
    </row>
    <row r="21" spans="1:13">
      <c r="A21" s="81">
        <v>3</v>
      </c>
      <c r="B21" s="81" t="s">
        <v>326</v>
      </c>
      <c r="C21" s="157">
        <v>2</v>
      </c>
      <c r="D21" s="149">
        <v>35</v>
      </c>
      <c r="E21" s="157">
        <f>C21*D21</f>
        <v>70</v>
      </c>
      <c r="F21" s="157">
        <f>E21*$C$32</f>
        <v>7</v>
      </c>
      <c r="G21" s="157">
        <f>(E21-$C$36-F21)*$C$34</f>
        <v>4.7000999999999999</v>
      </c>
      <c r="H21" s="157">
        <f>(E21-F21)*$C$33</f>
        <v>3.1500000000000004</v>
      </c>
      <c r="I21" s="157">
        <f t="shared" si="10"/>
        <v>1.1339999999999997</v>
      </c>
      <c r="J21" s="157">
        <f>E21-F21-G21</f>
        <v>58.299900000000001</v>
      </c>
      <c r="K21" s="158">
        <f>SUM(F21:J21)</f>
        <v>74.284000000000006</v>
      </c>
    </row>
    <row r="22" spans="1:13" s="62" customFormat="1">
      <c r="A22" s="159"/>
      <c r="B22" s="160" t="s">
        <v>0</v>
      </c>
      <c r="C22" s="159">
        <f t="shared" ref="C22:K22" si="11">SUM(C19:C21)</f>
        <v>6</v>
      </c>
      <c r="D22" s="158">
        <f t="shared" si="11"/>
        <v>115</v>
      </c>
      <c r="E22" s="158">
        <f t="shared" si="11"/>
        <v>230</v>
      </c>
      <c r="F22" s="158">
        <f t="shared" si="11"/>
        <v>23</v>
      </c>
      <c r="G22" s="158">
        <f t="shared" si="11"/>
        <v>15.900300000000001</v>
      </c>
      <c r="H22" s="158">
        <f t="shared" si="11"/>
        <v>10.350000000000001</v>
      </c>
      <c r="I22" s="158">
        <f t="shared" si="11"/>
        <v>3.726</v>
      </c>
      <c r="J22" s="158">
        <f t="shared" si="11"/>
        <v>191.09970000000001</v>
      </c>
      <c r="K22" s="158">
        <f t="shared" si="11"/>
        <v>244.07600000000002</v>
      </c>
    </row>
    <row r="23" spans="1:13" s="62" customFormat="1">
      <c r="A23" s="147"/>
      <c r="B23" s="147" t="s">
        <v>121</v>
      </c>
      <c r="C23" s="147"/>
      <c r="D23" s="148"/>
      <c r="E23" s="148"/>
      <c r="F23" s="148"/>
      <c r="G23" s="148"/>
      <c r="H23" s="148"/>
      <c r="I23" s="148"/>
      <c r="J23" s="148"/>
      <c r="K23" s="148"/>
    </row>
    <row r="24" spans="1:13">
      <c r="A24" s="81">
        <v>1</v>
      </c>
      <c r="B24" s="81" t="s">
        <v>130</v>
      </c>
      <c r="C24" s="81">
        <v>3</v>
      </c>
      <c r="D24" s="149">
        <v>30</v>
      </c>
      <c r="E24" s="157">
        <f>C24*D24</f>
        <v>90</v>
      </c>
      <c r="F24" s="157">
        <f>E24*$C$32</f>
        <v>9</v>
      </c>
      <c r="G24" s="157">
        <f>(E24-$C$36-F24)*$C$34</f>
        <v>6.5001000000000007</v>
      </c>
      <c r="H24" s="157">
        <f>(E24-F24)*$C$33</f>
        <v>4.05</v>
      </c>
      <c r="I24" s="157">
        <f t="shared" ref="I24:I27" si="12">((E24-F24)*$C$35-H24)*0.3</f>
        <v>1.458</v>
      </c>
      <c r="J24" s="157">
        <f>E24-F24-G24</f>
        <v>74.499899999999997</v>
      </c>
      <c r="K24" s="158">
        <f>SUM(F24:J24)</f>
        <v>95.507999999999996</v>
      </c>
      <c r="M24" s="161"/>
    </row>
    <row r="25" spans="1:13">
      <c r="A25" s="81">
        <v>2</v>
      </c>
      <c r="B25" s="81" t="s">
        <v>240</v>
      </c>
      <c r="C25" s="157">
        <v>1</v>
      </c>
      <c r="D25" s="149">
        <v>40</v>
      </c>
      <c r="E25" s="157">
        <f>C25*D25</f>
        <v>40</v>
      </c>
      <c r="F25" s="157">
        <f>E25*$C$32</f>
        <v>4</v>
      </c>
      <c r="G25" s="157">
        <f>(E25-$C$36-F25)*$C$34</f>
        <v>2.0000999999999998</v>
      </c>
      <c r="H25" s="157">
        <f>(E25-F25)*$C$33</f>
        <v>1.8</v>
      </c>
      <c r="I25" s="157">
        <f t="shared" si="12"/>
        <v>0.64800000000000002</v>
      </c>
      <c r="J25" s="157">
        <f>E25-F25-G25</f>
        <v>33.999899999999997</v>
      </c>
      <c r="K25" s="158">
        <f>SUM(F25:J25)</f>
        <v>42.447999999999993</v>
      </c>
    </row>
    <row r="26" spans="1:13">
      <c r="A26" s="81">
        <v>3</v>
      </c>
      <c r="B26" s="81" t="s">
        <v>241</v>
      </c>
      <c r="C26" s="157">
        <v>1</v>
      </c>
      <c r="D26" s="149">
        <v>50</v>
      </c>
      <c r="E26" s="157">
        <f>C26*D26</f>
        <v>50</v>
      </c>
      <c r="F26" s="157">
        <f>E26*$C$32</f>
        <v>5</v>
      </c>
      <c r="G26" s="157">
        <f>(E26-$C$36-F26)*$C$34</f>
        <v>2.9001000000000001</v>
      </c>
      <c r="H26" s="157">
        <f>(E26-F26)*$C$33</f>
        <v>2.25</v>
      </c>
      <c r="I26" s="157">
        <f t="shared" si="12"/>
        <v>0.81</v>
      </c>
      <c r="J26" s="157">
        <f>E26-F26-G26</f>
        <v>42.099899999999998</v>
      </c>
      <c r="K26" s="158">
        <f>SUM(F26:J26)</f>
        <v>53.06</v>
      </c>
    </row>
    <row r="27" spans="1:13">
      <c r="A27" s="81">
        <v>4</v>
      </c>
      <c r="B27" s="81" t="s">
        <v>131</v>
      </c>
      <c r="C27" s="81">
        <v>1</v>
      </c>
      <c r="D27" s="149">
        <v>45</v>
      </c>
      <c r="E27" s="157">
        <f>C27*D27</f>
        <v>45</v>
      </c>
      <c r="F27" s="157">
        <f>E27*$C$32</f>
        <v>4.5</v>
      </c>
      <c r="G27" s="157">
        <f>(E27-$C$36-F27)*$C$34</f>
        <v>2.4500999999999999</v>
      </c>
      <c r="H27" s="157">
        <f>(E27-F27)*$C$33</f>
        <v>2.0249999999999999</v>
      </c>
      <c r="I27" s="157">
        <f t="shared" si="12"/>
        <v>0.72899999999999998</v>
      </c>
      <c r="J27" s="157">
        <f>E27-F27-G27</f>
        <v>38.049900000000001</v>
      </c>
      <c r="K27" s="158">
        <f>SUM(F27:J27)</f>
        <v>47.753999999999998</v>
      </c>
    </row>
    <row r="28" spans="1:13" s="62" customFormat="1">
      <c r="A28" s="159"/>
      <c r="B28" s="160" t="s">
        <v>0</v>
      </c>
      <c r="C28" s="159">
        <f t="shared" ref="C28:K28" si="13">SUM(C24:C27)</f>
        <v>6</v>
      </c>
      <c r="D28" s="158">
        <f t="shared" si="13"/>
        <v>165</v>
      </c>
      <c r="E28" s="158">
        <f t="shared" si="13"/>
        <v>225</v>
      </c>
      <c r="F28" s="158">
        <f t="shared" si="13"/>
        <v>22.5</v>
      </c>
      <c r="G28" s="158">
        <f t="shared" si="13"/>
        <v>13.8504</v>
      </c>
      <c r="H28" s="158">
        <f t="shared" si="13"/>
        <v>10.125</v>
      </c>
      <c r="I28" s="158">
        <f t="shared" si="13"/>
        <v>3.645</v>
      </c>
      <c r="J28" s="158">
        <f t="shared" si="13"/>
        <v>188.64959999999999</v>
      </c>
      <c r="K28" s="158">
        <f t="shared" si="13"/>
        <v>238.76999999999998</v>
      </c>
    </row>
    <row r="29" spans="1:13">
      <c r="A29" s="81"/>
      <c r="B29" s="81"/>
      <c r="C29" s="81"/>
      <c r="D29" s="157"/>
      <c r="E29" s="157"/>
      <c r="F29" s="157"/>
      <c r="G29" s="157"/>
      <c r="H29" s="157"/>
      <c r="I29" s="157"/>
      <c r="J29" s="157"/>
      <c r="K29" s="157"/>
    </row>
    <row r="30" spans="1:13" s="62" customFormat="1">
      <c r="A30" s="159"/>
      <c r="B30" s="159" t="s">
        <v>122</v>
      </c>
      <c r="C30" s="158">
        <f t="shared" ref="C30:K30" si="14">C9+C17+C22+C28</f>
        <v>28</v>
      </c>
      <c r="D30" s="158">
        <f t="shared" si="14"/>
        <v>845</v>
      </c>
      <c r="E30" s="158">
        <f t="shared" si="14"/>
        <v>1355</v>
      </c>
      <c r="F30" s="158">
        <f t="shared" si="14"/>
        <v>135.5</v>
      </c>
      <c r="G30" s="158">
        <f t="shared" si="14"/>
        <v>96.351599999999991</v>
      </c>
      <c r="H30" s="158">
        <f t="shared" si="14"/>
        <v>60.975000000000009</v>
      </c>
      <c r="I30" s="158">
        <f t="shared" si="14"/>
        <v>21.950999999999997</v>
      </c>
      <c r="J30" s="158">
        <f t="shared" si="14"/>
        <v>1123.1483999999998</v>
      </c>
      <c r="K30" s="162">
        <f t="shared" si="14"/>
        <v>1437.9259999999999</v>
      </c>
    </row>
    <row r="32" spans="1:13">
      <c r="B32" s="81" t="s">
        <v>52</v>
      </c>
      <c r="C32" s="163">
        <f>Исх!C11</f>
        <v>0.1</v>
      </c>
      <c r="D32" s="164"/>
      <c r="E32" s="164"/>
      <c r="F32" s="164"/>
      <c r="G32" s="372"/>
      <c r="H32" s="372"/>
      <c r="I32" s="372"/>
      <c r="J32" s="372"/>
    </row>
    <row r="33" spans="2:10">
      <c r="B33" s="81" t="s">
        <v>57</v>
      </c>
      <c r="C33" s="163">
        <f>Исх!C12</f>
        <v>0.05</v>
      </c>
      <c r="D33" s="164"/>
      <c r="E33" s="164"/>
      <c r="F33" s="164"/>
      <c r="G33" s="164"/>
      <c r="H33" s="164"/>
      <c r="I33" s="165"/>
      <c r="J33" s="166"/>
    </row>
    <row r="34" spans="2:10">
      <c r="B34" s="81" t="s">
        <v>53</v>
      </c>
      <c r="C34" s="163">
        <f>Исх!C13</f>
        <v>0.1</v>
      </c>
      <c r="D34" s="164"/>
      <c r="E34" s="164"/>
      <c r="F34" s="164"/>
      <c r="G34" s="164"/>
      <c r="H34" s="164"/>
      <c r="I34" s="165"/>
      <c r="J34" s="166"/>
    </row>
    <row r="35" spans="2:10">
      <c r="B35" s="81" t="s">
        <v>55</v>
      </c>
      <c r="C35" s="163">
        <f>Исх!C14</f>
        <v>0.11</v>
      </c>
      <c r="D35" s="167"/>
      <c r="E35" s="167"/>
      <c r="F35" s="164"/>
      <c r="G35" s="164"/>
      <c r="H35" s="164"/>
      <c r="I35" s="165"/>
      <c r="J35" s="166"/>
    </row>
    <row r="36" spans="2:10">
      <c r="B36" s="81" t="s">
        <v>128</v>
      </c>
      <c r="C36" s="168">
        <f>Исх!C15</f>
        <v>15.999000000000001</v>
      </c>
    </row>
    <row r="37" spans="2:10">
      <c r="G37" s="164"/>
      <c r="H37" s="164"/>
      <c r="I37" s="165"/>
      <c r="J37" s="166"/>
    </row>
  </sheetData>
  <mergeCells count="1">
    <mergeCell ref="G32:J32"/>
  </mergeCells>
  <pageMargins left="0.27559055118110237" right="0.27559055118110237" top="0.35433070866141736" bottom="0.35433070866141736" header="0.23622047244094491" footer="0.27559055118110237"/>
  <pageSetup paperSize="9" orientation="landscape" r:id="rId1"/>
  <headerFooter alignWithMargins="0"/>
  <picture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K51"/>
  <sheetViews>
    <sheetView showGridLines="0" zoomScaleNormal="100" workbookViewId="0">
      <pane ySplit="5" topLeftCell="A6" activePane="bottomLeft" state="frozen"/>
      <selection activeCell="A34" sqref="A34"/>
      <selection pane="bottomLeft" activeCell="D16" sqref="D16:I16"/>
    </sheetView>
  </sheetViews>
  <sheetFormatPr defaultColWidth="8.85546875" defaultRowHeight="12.75" outlineLevelRow="1"/>
  <cols>
    <col min="1" max="1" width="34.28515625" style="78" customWidth="1"/>
    <col min="2" max="2" width="13.140625" style="78" customWidth="1"/>
    <col min="3" max="3" width="12.28515625" style="78" customWidth="1"/>
    <col min="4" max="7" width="10.7109375" style="78" customWidth="1"/>
    <col min="8" max="16384" width="8.85546875" style="78"/>
  </cols>
  <sheetData>
    <row r="1" spans="1:11">
      <c r="A1" s="62" t="s">
        <v>169</v>
      </c>
    </row>
    <row r="2" spans="1:11">
      <c r="A2" s="62"/>
    </row>
    <row r="3" spans="1:1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>
      <c r="A4" s="78" t="s">
        <v>47</v>
      </c>
      <c r="C4" s="144"/>
      <c r="D4" s="144"/>
      <c r="E4" s="144"/>
      <c r="F4" s="144"/>
      <c r="G4" s="144"/>
      <c r="H4" s="144"/>
      <c r="I4" s="151" t="str">
        <f>Исх!C9</f>
        <v>тыс.тг.</v>
      </c>
    </row>
    <row r="5" spans="1:11">
      <c r="A5" s="227" t="s">
        <v>48</v>
      </c>
      <c r="B5" s="252"/>
      <c r="C5" s="252">
        <v>2012</v>
      </c>
      <c r="D5" s="252">
        <v>2013</v>
      </c>
      <c r="E5" s="252">
        <f>D5+1</f>
        <v>2014</v>
      </c>
      <c r="F5" s="252">
        <f>E5+1</f>
        <v>2015</v>
      </c>
      <c r="G5" s="252">
        <f>F5+1</f>
        <v>2016</v>
      </c>
      <c r="H5" s="252">
        <f>G5+1</f>
        <v>2017</v>
      </c>
      <c r="I5" s="252">
        <f>H5+1</f>
        <v>2018</v>
      </c>
    </row>
    <row r="6" spans="1:11">
      <c r="A6" s="81" t="s">
        <v>49</v>
      </c>
      <c r="B6" s="150"/>
      <c r="C6" s="157">
        <f>ФОТ!K30-ФОТ!K17</f>
        <v>732.22799999999995</v>
      </c>
      <c r="D6" s="157">
        <f t="shared" ref="D6:I6" si="0">C6</f>
        <v>732.22799999999995</v>
      </c>
      <c r="E6" s="157">
        <f t="shared" si="0"/>
        <v>732.22799999999995</v>
      </c>
      <c r="F6" s="157">
        <f t="shared" si="0"/>
        <v>732.22799999999995</v>
      </c>
      <c r="G6" s="157">
        <f t="shared" si="0"/>
        <v>732.22799999999995</v>
      </c>
      <c r="H6" s="157">
        <f t="shared" si="0"/>
        <v>732.22799999999995</v>
      </c>
      <c r="I6" s="157">
        <f t="shared" si="0"/>
        <v>732.22799999999995</v>
      </c>
    </row>
    <row r="7" spans="1:11">
      <c r="A7" s="170" t="s">
        <v>327</v>
      </c>
      <c r="B7" s="249"/>
      <c r="C7" s="149">
        <v>25</v>
      </c>
      <c r="D7" s="157">
        <f>C7*1.1</f>
        <v>27.500000000000004</v>
      </c>
      <c r="E7" s="157">
        <f t="shared" ref="E7:I7" si="1">D7*1.1</f>
        <v>30.250000000000007</v>
      </c>
      <c r="F7" s="157">
        <f t="shared" si="1"/>
        <v>33.275000000000013</v>
      </c>
      <c r="G7" s="157">
        <f t="shared" si="1"/>
        <v>36.60250000000002</v>
      </c>
      <c r="H7" s="157">
        <f t="shared" si="1"/>
        <v>40.262750000000025</v>
      </c>
      <c r="I7" s="157">
        <f t="shared" si="1"/>
        <v>44.289025000000031</v>
      </c>
    </row>
    <row r="8" spans="1:11">
      <c r="A8" s="170" t="s">
        <v>132</v>
      </c>
      <c r="B8" s="249" t="s">
        <v>217</v>
      </c>
      <c r="C8" s="149">
        <v>17</v>
      </c>
      <c r="D8" s="157">
        <f t="shared" ref="D8:I8" si="2">C8+C8*$D$3</f>
        <v>17</v>
      </c>
      <c r="E8" s="157">
        <f t="shared" si="2"/>
        <v>17</v>
      </c>
      <c r="F8" s="157">
        <f t="shared" si="2"/>
        <v>17</v>
      </c>
      <c r="G8" s="157">
        <f t="shared" si="2"/>
        <v>17</v>
      </c>
      <c r="H8" s="157">
        <f t="shared" si="2"/>
        <v>17</v>
      </c>
      <c r="I8" s="157">
        <f t="shared" si="2"/>
        <v>17</v>
      </c>
    </row>
    <row r="9" spans="1:11">
      <c r="A9" s="170" t="s">
        <v>123</v>
      </c>
      <c r="B9" s="150"/>
      <c r="C9" s="149">
        <v>8</v>
      </c>
      <c r="D9" s="157">
        <f t="shared" ref="D9:I15" si="3">C9+C9*$D$3</f>
        <v>8</v>
      </c>
      <c r="E9" s="157">
        <f t="shared" si="3"/>
        <v>8</v>
      </c>
      <c r="F9" s="157">
        <f t="shared" si="3"/>
        <v>8</v>
      </c>
      <c r="G9" s="157">
        <f t="shared" si="3"/>
        <v>8</v>
      </c>
      <c r="H9" s="157">
        <f t="shared" si="3"/>
        <v>8</v>
      </c>
      <c r="I9" s="157">
        <f t="shared" si="3"/>
        <v>8</v>
      </c>
    </row>
    <row r="10" spans="1:11">
      <c r="A10" s="81" t="s">
        <v>50</v>
      </c>
      <c r="B10" s="150"/>
      <c r="C10" s="149">
        <v>5</v>
      </c>
      <c r="D10" s="157">
        <f t="shared" si="3"/>
        <v>5</v>
      </c>
      <c r="E10" s="157">
        <f t="shared" si="3"/>
        <v>5</v>
      </c>
      <c r="F10" s="157">
        <f t="shared" si="3"/>
        <v>5</v>
      </c>
      <c r="G10" s="157">
        <f t="shared" si="3"/>
        <v>5</v>
      </c>
      <c r="H10" s="157">
        <f t="shared" si="3"/>
        <v>5</v>
      </c>
      <c r="I10" s="157">
        <f t="shared" si="3"/>
        <v>5</v>
      </c>
    </row>
    <row r="11" spans="1:11">
      <c r="A11" s="81" t="s">
        <v>227</v>
      </c>
      <c r="B11" s="249" t="s">
        <v>243</v>
      </c>
      <c r="C11" s="149">
        <f>2*20*26*110/1.12/1000</f>
        <v>102.14285714285712</v>
      </c>
      <c r="D11" s="157">
        <f t="shared" ref="D11:I11" si="4">C11+C11*$D$3</f>
        <v>102.14285714285712</v>
      </c>
      <c r="E11" s="157">
        <f t="shared" si="4"/>
        <v>102.14285714285712</v>
      </c>
      <c r="F11" s="157">
        <f t="shared" si="4"/>
        <v>102.14285714285712</v>
      </c>
      <c r="G11" s="157">
        <f t="shared" si="4"/>
        <v>102.14285714285712</v>
      </c>
      <c r="H11" s="157">
        <f t="shared" si="4"/>
        <v>102.14285714285712</v>
      </c>
      <c r="I11" s="157">
        <f t="shared" si="4"/>
        <v>102.14285714285712</v>
      </c>
      <c r="J11" s="78" t="s">
        <v>228</v>
      </c>
    </row>
    <row r="12" spans="1:11">
      <c r="A12" s="81" t="s">
        <v>112</v>
      </c>
      <c r="B12" s="150"/>
      <c r="C12" s="149">
        <v>10</v>
      </c>
      <c r="D12" s="157">
        <f t="shared" si="3"/>
        <v>10</v>
      </c>
      <c r="E12" s="157">
        <f t="shared" si="3"/>
        <v>10</v>
      </c>
      <c r="F12" s="157">
        <f t="shared" si="3"/>
        <v>10</v>
      </c>
      <c r="G12" s="157">
        <f t="shared" si="3"/>
        <v>10</v>
      </c>
      <c r="H12" s="157">
        <f t="shared" si="3"/>
        <v>10</v>
      </c>
      <c r="I12" s="157">
        <f t="shared" si="3"/>
        <v>10</v>
      </c>
    </row>
    <row r="13" spans="1:11">
      <c r="A13" s="81" t="s">
        <v>86</v>
      </c>
      <c r="B13" s="150"/>
      <c r="C13" s="149">
        <v>20</v>
      </c>
      <c r="D13" s="157">
        <f t="shared" si="3"/>
        <v>20</v>
      </c>
      <c r="E13" s="157">
        <f t="shared" si="3"/>
        <v>20</v>
      </c>
      <c r="F13" s="157">
        <f t="shared" si="3"/>
        <v>20</v>
      </c>
      <c r="G13" s="157">
        <f t="shared" si="3"/>
        <v>20</v>
      </c>
      <c r="H13" s="157">
        <f t="shared" si="3"/>
        <v>20</v>
      </c>
      <c r="I13" s="157">
        <f t="shared" si="3"/>
        <v>20</v>
      </c>
    </row>
    <row r="14" spans="1:11">
      <c r="A14" s="81" t="s">
        <v>113</v>
      </c>
      <c r="B14" s="150"/>
      <c r="C14" s="149">
        <v>10</v>
      </c>
      <c r="D14" s="157">
        <f t="shared" ref="D14:I14" si="5">C14+C14*$D$3</f>
        <v>10</v>
      </c>
      <c r="E14" s="157">
        <f t="shared" si="5"/>
        <v>10</v>
      </c>
      <c r="F14" s="157">
        <f t="shared" si="5"/>
        <v>10</v>
      </c>
      <c r="G14" s="157">
        <f t="shared" si="5"/>
        <v>10</v>
      </c>
      <c r="H14" s="157">
        <f t="shared" si="5"/>
        <v>10</v>
      </c>
      <c r="I14" s="157">
        <f t="shared" si="5"/>
        <v>10</v>
      </c>
    </row>
    <row r="15" spans="1:11">
      <c r="A15" s="81" t="s">
        <v>51</v>
      </c>
      <c r="B15" s="157"/>
      <c r="C15" s="149">
        <v>10</v>
      </c>
      <c r="D15" s="157">
        <f t="shared" si="3"/>
        <v>10</v>
      </c>
      <c r="E15" s="157">
        <f t="shared" si="3"/>
        <v>10</v>
      </c>
      <c r="F15" s="157">
        <f t="shared" si="3"/>
        <v>10</v>
      </c>
      <c r="G15" s="157">
        <f t="shared" si="3"/>
        <v>10</v>
      </c>
      <c r="H15" s="157">
        <f t="shared" si="3"/>
        <v>10</v>
      </c>
      <c r="I15" s="157">
        <f t="shared" si="3"/>
        <v>10</v>
      </c>
    </row>
    <row r="16" spans="1:11">
      <c r="A16" s="227" t="s">
        <v>0</v>
      </c>
      <c r="B16" s="228"/>
      <c r="C16" s="228">
        <f t="shared" ref="C16:I16" si="6">SUM(C6:C15)</f>
        <v>939.37085714285706</v>
      </c>
      <c r="D16" s="228">
        <f t="shared" si="6"/>
        <v>941.87085714285706</v>
      </c>
      <c r="E16" s="228">
        <f t="shared" si="6"/>
        <v>944.62085714285706</v>
      </c>
      <c r="F16" s="228">
        <f t="shared" si="6"/>
        <v>947.64585714285704</v>
      </c>
      <c r="G16" s="228">
        <f t="shared" si="6"/>
        <v>950.97335714285714</v>
      </c>
      <c r="H16" s="228">
        <f t="shared" si="6"/>
        <v>954.63360714285704</v>
      </c>
      <c r="I16" s="228">
        <f t="shared" si="6"/>
        <v>958.6598821428571</v>
      </c>
    </row>
    <row r="18" spans="1:10">
      <c r="A18" s="62" t="s">
        <v>87</v>
      </c>
      <c r="C18" s="172">
        <f t="shared" ref="C18:I18" si="7">SUM(C19:C19)</f>
        <v>2.1966839999999999</v>
      </c>
      <c r="D18" s="172">
        <f t="shared" si="7"/>
        <v>2.1966839999999999</v>
      </c>
      <c r="E18" s="172">
        <f t="shared" si="7"/>
        <v>2.1966839999999999</v>
      </c>
      <c r="F18" s="172">
        <f t="shared" si="7"/>
        <v>2.1966839999999999</v>
      </c>
      <c r="G18" s="172">
        <f t="shared" si="7"/>
        <v>2.1966839999999999</v>
      </c>
      <c r="H18" s="172">
        <f t="shared" si="7"/>
        <v>2.1966839999999999</v>
      </c>
      <c r="I18" s="172">
        <f t="shared" si="7"/>
        <v>2.1966839999999999</v>
      </c>
    </row>
    <row r="19" spans="1:10" ht="25.5">
      <c r="A19" s="170" t="s">
        <v>88</v>
      </c>
      <c r="B19" s="173">
        <v>3.0000000000000001E-3</v>
      </c>
      <c r="C19" s="174">
        <f t="shared" ref="C19:I19" si="8">C6*$B$19</f>
        <v>2.1966839999999999</v>
      </c>
      <c r="D19" s="174">
        <f t="shared" si="8"/>
        <v>2.1966839999999999</v>
      </c>
      <c r="E19" s="174">
        <f t="shared" si="8"/>
        <v>2.1966839999999999</v>
      </c>
      <c r="F19" s="174">
        <f t="shared" si="8"/>
        <v>2.1966839999999999</v>
      </c>
      <c r="G19" s="174">
        <f t="shared" si="8"/>
        <v>2.1966839999999999</v>
      </c>
      <c r="H19" s="174">
        <f t="shared" si="8"/>
        <v>2.1966839999999999</v>
      </c>
      <c r="I19" s="174">
        <f t="shared" si="8"/>
        <v>2.1966839999999999</v>
      </c>
    </row>
    <row r="21" spans="1:10">
      <c r="A21" s="62" t="s">
        <v>89</v>
      </c>
      <c r="C21" s="175">
        <f>SUM(C22:C23)</f>
        <v>9.6816167498997281</v>
      </c>
      <c r="D21" s="175">
        <f t="shared" ref="D21:I21" si="9">SUM(D22:D23)</f>
        <v>9.2755851216997414</v>
      </c>
      <c r="E21" s="175">
        <f t="shared" si="9"/>
        <v>8.8695534934997546</v>
      </c>
      <c r="F21" s="175">
        <f t="shared" si="9"/>
        <v>8.4635218652997679</v>
      </c>
      <c r="G21" s="175">
        <f t="shared" si="9"/>
        <v>8.057490237099783</v>
      </c>
      <c r="H21" s="175">
        <f t="shared" si="9"/>
        <v>7.651458608899798</v>
      </c>
      <c r="I21" s="175">
        <f t="shared" si="9"/>
        <v>7.2454269806998113</v>
      </c>
    </row>
    <row r="22" spans="1:10">
      <c r="A22" s="81" t="s">
        <v>2</v>
      </c>
      <c r="B22" s="176">
        <f>Исх!C16</f>
        <v>4.4999999999999997E-3</v>
      </c>
      <c r="C22" s="157">
        <f>(C35+C38)/2*$B$22/12</f>
        <v>7.9176167498997287</v>
      </c>
      <c r="D22" s="157">
        <f t="shared" ref="D22:I22" si="10">(D35+D38)/2*$B$22/12</f>
        <v>7.511585121699742</v>
      </c>
      <c r="E22" s="157">
        <f t="shared" si="10"/>
        <v>7.1055534934997553</v>
      </c>
      <c r="F22" s="157">
        <f t="shared" si="10"/>
        <v>6.6995218652997686</v>
      </c>
      <c r="G22" s="157">
        <f t="shared" si="10"/>
        <v>6.2934902370997827</v>
      </c>
      <c r="H22" s="157">
        <f t="shared" si="10"/>
        <v>5.8874586088997978</v>
      </c>
      <c r="I22" s="157">
        <f t="shared" si="10"/>
        <v>5.481426980699811</v>
      </c>
    </row>
    <row r="23" spans="1:10">
      <c r="A23" s="81" t="s">
        <v>114</v>
      </c>
      <c r="B23" s="81"/>
      <c r="C23" s="149">
        <f>10584*2/12/1000</f>
        <v>1.764</v>
      </c>
      <c r="D23" s="157">
        <f t="shared" ref="D23:I23" si="11">C23+C23*$D$3</f>
        <v>1.764</v>
      </c>
      <c r="E23" s="157">
        <f t="shared" si="11"/>
        <v>1.764</v>
      </c>
      <c r="F23" s="157">
        <f t="shared" si="11"/>
        <v>1.764</v>
      </c>
      <c r="G23" s="157">
        <f t="shared" si="11"/>
        <v>1.764</v>
      </c>
      <c r="H23" s="157">
        <f t="shared" si="11"/>
        <v>1.764</v>
      </c>
      <c r="I23" s="157">
        <f t="shared" si="11"/>
        <v>1.764</v>
      </c>
      <c r="J23" s="78" t="s">
        <v>229</v>
      </c>
    </row>
    <row r="25" spans="1:10">
      <c r="C25" s="177"/>
    </row>
    <row r="26" spans="1:10">
      <c r="A26" s="373" t="s">
        <v>90</v>
      </c>
      <c r="B26" s="373"/>
      <c r="C26" s="373"/>
      <c r="D26" s="373"/>
      <c r="E26" s="373"/>
      <c r="F26" s="374"/>
      <c r="G26" s="181"/>
      <c r="H26" s="181"/>
      <c r="I26" s="181"/>
    </row>
    <row r="27" spans="1:10">
      <c r="A27" s="79" t="s">
        <v>96</v>
      </c>
      <c r="C27" s="146">
        <v>1</v>
      </c>
      <c r="D27" s="146">
        <f t="shared" ref="D27:I27" si="12">C27+1</f>
        <v>2</v>
      </c>
      <c r="E27" s="146">
        <f t="shared" si="12"/>
        <v>3</v>
      </c>
      <c r="F27" s="146">
        <f t="shared" si="12"/>
        <v>4</v>
      </c>
      <c r="G27" s="182">
        <f t="shared" si="12"/>
        <v>5</v>
      </c>
      <c r="H27" s="182">
        <f t="shared" si="12"/>
        <v>6</v>
      </c>
      <c r="I27" s="182">
        <f t="shared" si="12"/>
        <v>7</v>
      </c>
    </row>
    <row r="28" spans="1:10">
      <c r="A28" s="81" t="s">
        <v>91</v>
      </c>
      <c r="B28" s="178"/>
      <c r="C28" s="81"/>
      <c r="D28" s="81"/>
      <c r="E28" s="81"/>
      <c r="F28" s="81"/>
      <c r="G28" s="81"/>
      <c r="H28" s="81"/>
      <c r="I28" s="81"/>
    </row>
    <row r="29" spans="1:10">
      <c r="A29" s="81" t="s">
        <v>92</v>
      </c>
      <c r="B29" s="179"/>
      <c r="C29" s="157">
        <f>C35+C41+C47</f>
        <v>35897.961242094498</v>
      </c>
      <c r="D29" s="157">
        <f t="shared" ref="D29:I29" si="13">D35+D41+D47</f>
        <v>33390.916126418349</v>
      </c>
      <c r="E29" s="157">
        <f t="shared" si="13"/>
        <v>30883.871010742187</v>
      </c>
      <c r="F29" s="157">
        <f t="shared" si="13"/>
        <v>28376.825895066035</v>
      </c>
      <c r="G29" s="157">
        <f t="shared" si="13"/>
        <v>25869.780779389883</v>
      </c>
      <c r="H29" s="157">
        <f t="shared" si="13"/>
        <v>23362.735663713727</v>
      </c>
      <c r="I29" s="157">
        <f t="shared" si="13"/>
        <v>20855.690548037572</v>
      </c>
    </row>
    <row r="30" spans="1:10">
      <c r="A30" s="81" t="s">
        <v>93</v>
      </c>
      <c r="B30" s="179"/>
      <c r="C30" s="157">
        <f>C36+C42+C48</f>
        <v>0</v>
      </c>
      <c r="D30" s="157">
        <f t="shared" ref="D30:I30" si="14">D36+D42+D48</f>
        <v>0</v>
      </c>
      <c r="E30" s="157">
        <f t="shared" si="14"/>
        <v>0</v>
      </c>
      <c r="F30" s="157">
        <f t="shared" si="14"/>
        <v>0</v>
      </c>
      <c r="G30" s="157">
        <f t="shared" si="14"/>
        <v>0</v>
      </c>
      <c r="H30" s="157">
        <f t="shared" si="14"/>
        <v>0</v>
      </c>
      <c r="I30" s="157">
        <f t="shared" si="14"/>
        <v>0</v>
      </c>
    </row>
    <row r="31" spans="1:10">
      <c r="A31" s="159" t="s">
        <v>94</v>
      </c>
      <c r="B31" s="159"/>
      <c r="C31" s="158">
        <f>C37+C43+C49</f>
        <v>2507.0451156761537</v>
      </c>
      <c r="D31" s="158">
        <f t="shared" ref="D31:I31" si="15">D37+D43+D49</f>
        <v>2507.0451156761537</v>
      </c>
      <c r="E31" s="158">
        <f t="shared" si="15"/>
        <v>2507.0451156761537</v>
      </c>
      <c r="F31" s="158">
        <f t="shared" si="15"/>
        <v>2507.0451156761537</v>
      </c>
      <c r="G31" s="158">
        <f t="shared" si="15"/>
        <v>2507.0451156761537</v>
      </c>
      <c r="H31" s="158">
        <f t="shared" si="15"/>
        <v>2507.0451156761537</v>
      </c>
      <c r="I31" s="158">
        <f t="shared" si="15"/>
        <v>2507.0451156761537</v>
      </c>
    </row>
    <row r="32" spans="1:10">
      <c r="A32" s="81" t="s">
        <v>95</v>
      </c>
      <c r="B32" s="179"/>
      <c r="C32" s="157">
        <f t="shared" ref="C32:I32" si="16">C29+C30-C31</f>
        <v>33390.916126418342</v>
      </c>
      <c r="D32" s="157">
        <f t="shared" si="16"/>
        <v>30883.871010742194</v>
      </c>
      <c r="E32" s="157">
        <f t="shared" si="16"/>
        <v>28376.825895066031</v>
      </c>
      <c r="F32" s="157">
        <f t="shared" si="16"/>
        <v>25869.780779389883</v>
      </c>
      <c r="G32" s="157">
        <f t="shared" si="16"/>
        <v>23362.735663713727</v>
      </c>
      <c r="H32" s="157">
        <f t="shared" si="16"/>
        <v>20855.690548037572</v>
      </c>
      <c r="I32" s="157">
        <f t="shared" si="16"/>
        <v>18348.645432361416</v>
      </c>
    </row>
    <row r="33" spans="1:9" hidden="1" outlineLevel="1">
      <c r="A33" s="79" t="s">
        <v>124</v>
      </c>
      <c r="C33" s="146"/>
      <c r="D33" s="146"/>
      <c r="E33" s="146"/>
      <c r="F33" s="146"/>
      <c r="G33" s="146"/>
      <c r="H33" s="146"/>
      <c r="I33" s="146"/>
    </row>
    <row r="34" spans="1:9" hidden="1" outlineLevel="1">
      <c r="A34" s="81" t="s">
        <v>91</v>
      </c>
      <c r="B34" s="180">
        <v>0.05</v>
      </c>
      <c r="C34" s="81"/>
      <c r="D34" s="81"/>
      <c r="E34" s="81"/>
      <c r="F34" s="81"/>
      <c r="G34" s="81"/>
      <c r="H34" s="81"/>
      <c r="I34" s="81"/>
    </row>
    <row r="35" spans="1:9" hidden="1" outlineLevel="1">
      <c r="A35" s="81" t="s">
        <v>92</v>
      </c>
      <c r="B35" s="179"/>
      <c r="C35" s="150">
        <f>Инв!C22</f>
        <v>21655.020170665928</v>
      </c>
      <c r="D35" s="157">
        <f t="shared" ref="D35:I35" si="17">C38</f>
        <v>20572.26916213263</v>
      </c>
      <c r="E35" s="157">
        <f t="shared" si="17"/>
        <v>19489.518153599332</v>
      </c>
      <c r="F35" s="157">
        <f t="shared" si="17"/>
        <v>18406.767145066035</v>
      </c>
      <c r="G35" s="157">
        <f t="shared" si="17"/>
        <v>17324.016136532737</v>
      </c>
      <c r="H35" s="157">
        <f t="shared" si="17"/>
        <v>16241.265127999441</v>
      </c>
      <c r="I35" s="157">
        <f t="shared" si="17"/>
        <v>15158.514119466145</v>
      </c>
    </row>
    <row r="36" spans="1:9" hidden="1" outlineLevel="1">
      <c r="A36" s="81" t="s">
        <v>93</v>
      </c>
      <c r="B36" s="179"/>
      <c r="C36" s="157"/>
      <c r="D36" s="157"/>
      <c r="E36" s="157"/>
      <c r="F36" s="157"/>
      <c r="G36" s="157"/>
      <c r="H36" s="157"/>
      <c r="I36" s="157"/>
    </row>
    <row r="37" spans="1:9" hidden="1" outlineLevel="1">
      <c r="A37" s="159" t="s">
        <v>94</v>
      </c>
      <c r="B37" s="159"/>
      <c r="C37" s="158">
        <f t="shared" ref="C37:I37" si="18">$C35*$B34</f>
        <v>1082.7510085332965</v>
      </c>
      <c r="D37" s="158">
        <f t="shared" si="18"/>
        <v>1082.7510085332965</v>
      </c>
      <c r="E37" s="158">
        <f t="shared" si="18"/>
        <v>1082.7510085332965</v>
      </c>
      <c r="F37" s="158">
        <f t="shared" si="18"/>
        <v>1082.7510085332965</v>
      </c>
      <c r="G37" s="158">
        <f t="shared" si="18"/>
        <v>1082.7510085332965</v>
      </c>
      <c r="H37" s="158">
        <f t="shared" si="18"/>
        <v>1082.7510085332965</v>
      </c>
      <c r="I37" s="158">
        <f t="shared" si="18"/>
        <v>1082.7510085332965</v>
      </c>
    </row>
    <row r="38" spans="1:9" hidden="1" outlineLevel="1">
      <c r="A38" s="81" t="s">
        <v>95</v>
      </c>
      <c r="B38" s="179"/>
      <c r="C38" s="157">
        <f t="shared" ref="C38:I38" si="19">C35+C36-C37</f>
        <v>20572.26916213263</v>
      </c>
      <c r="D38" s="157">
        <f t="shared" si="19"/>
        <v>19489.518153599332</v>
      </c>
      <c r="E38" s="157">
        <f t="shared" si="19"/>
        <v>18406.767145066035</v>
      </c>
      <c r="F38" s="157">
        <f t="shared" si="19"/>
        <v>17324.016136532737</v>
      </c>
      <c r="G38" s="157">
        <f t="shared" si="19"/>
        <v>16241.265127999441</v>
      </c>
      <c r="H38" s="157">
        <f t="shared" si="19"/>
        <v>15158.514119466145</v>
      </c>
      <c r="I38" s="157">
        <f t="shared" si="19"/>
        <v>14075.763110932849</v>
      </c>
    </row>
    <row r="39" spans="1:9" hidden="1" outlineLevel="1">
      <c r="A39" s="79" t="s">
        <v>118</v>
      </c>
      <c r="C39" s="146"/>
      <c r="D39" s="146"/>
      <c r="E39" s="146"/>
      <c r="F39" s="146"/>
      <c r="G39" s="146"/>
      <c r="H39" s="146"/>
      <c r="I39" s="146"/>
    </row>
    <row r="40" spans="1:9" hidden="1" outlineLevel="1">
      <c r="A40" s="81" t="s">
        <v>91</v>
      </c>
      <c r="B40" s="180">
        <v>0.1</v>
      </c>
      <c r="C40" s="81"/>
      <c r="D40" s="81"/>
      <c r="E40" s="81"/>
      <c r="F40" s="81"/>
      <c r="G40" s="81"/>
      <c r="H40" s="81"/>
      <c r="I40" s="81"/>
    </row>
    <row r="41" spans="1:9" hidden="1" outlineLevel="1">
      <c r="A41" s="81" t="s">
        <v>92</v>
      </c>
      <c r="B41" s="179"/>
      <c r="C41" s="157">
        <f>Инв!C23</f>
        <v>1296.5124999999998</v>
      </c>
      <c r="D41" s="157">
        <f t="shared" ref="D41:I41" si="20">C44</f>
        <v>1166.8612499999999</v>
      </c>
      <c r="E41" s="157">
        <f t="shared" si="20"/>
        <v>1037.21</v>
      </c>
      <c r="F41" s="157">
        <f t="shared" si="20"/>
        <v>907.55875000000003</v>
      </c>
      <c r="G41" s="157">
        <f t="shared" si="20"/>
        <v>777.90750000000003</v>
      </c>
      <c r="H41" s="157">
        <f t="shared" si="20"/>
        <v>648.25625000000002</v>
      </c>
      <c r="I41" s="157">
        <f t="shared" si="20"/>
        <v>518.60500000000002</v>
      </c>
    </row>
    <row r="42" spans="1:9" hidden="1" outlineLevel="1">
      <c r="A42" s="81" t="s">
        <v>93</v>
      </c>
      <c r="B42" s="179"/>
      <c r="C42" s="157"/>
      <c r="D42" s="157"/>
      <c r="E42" s="157"/>
      <c r="F42" s="157"/>
      <c r="G42" s="157"/>
      <c r="H42" s="157"/>
      <c r="I42" s="157"/>
    </row>
    <row r="43" spans="1:9" hidden="1" outlineLevel="1">
      <c r="A43" s="159" t="s">
        <v>94</v>
      </c>
      <c r="B43" s="159"/>
      <c r="C43" s="158">
        <f t="shared" ref="C43:I43" si="21">$C41*$B40</f>
        <v>129.65124999999998</v>
      </c>
      <c r="D43" s="158">
        <f t="shared" si="21"/>
        <v>129.65124999999998</v>
      </c>
      <c r="E43" s="158">
        <f t="shared" si="21"/>
        <v>129.65124999999998</v>
      </c>
      <c r="F43" s="158">
        <f t="shared" si="21"/>
        <v>129.65124999999998</v>
      </c>
      <c r="G43" s="158">
        <f t="shared" si="21"/>
        <v>129.65124999999998</v>
      </c>
      <c r="H43" s="158">
        <f t="shared" si="21"/>
        <v>129.65124999999998</v>
      </c>
      <c r="I43" s="158">
        <f t="shared" si="21"/>
        <v>129.65124999999998</v>
      </c>
    </row>
    <row r="44" spans="1:9" hidden="1" outlineLevel="1">
      <c r="A44" s="81" t="s">
        <v>95</v>
      </c>
      <c r="B44" s="179"/>
      <c r="C44" s="157">
        <f t="shared" ref="C44:I44" si="22">C41+C42-C43</f>
        <v>1166.8612499999999</v>
      </c>
      <c r="D44" s="157">
        <f t="shared" si="22"/>
        <v>1037.21</v>
      </c>
      <c r="E44" s="157">
        <f t="shared" si="22"/>
        <v>907.55875000000003</v>
      </c>
      <c r="F44" s="157">
        <f t="shared" si="22"/>
        <v>777.90750000000003</v>
      </c>
      <c r="G44" s="157">
        <f t="shared" si="22"/>
        <v>648.25625000000002</v>
      </c>
      <c r="H44" s="157">
        <f t="shared" si="22"/>
        <v>518.60500000000002</v>
      </c>
      <c r="I44" s="157">
        <f t="shared" si="22"/>
        <v>388.95375000000001</v>
      </c>
    </row>
    <row r="45" spans="1:9" hidden="1" outlineLevel="1">
      <c r="A45" s="79" t="s">
        <v>225</v>
      </c>
      <c r="C45" s="146"/>
      <c r="D45" s="146"/>
      <c r="E45" s="146"/>
      <c r="F45" s="146"/>
      <c r="G45" s="146"/>
      <c r="H45" s="146"/>
      <c r="I45" s="146"/>
    </row>
    <row r="46" spans="1:9" hidden="1" outlineLevel="1">
      <c r="A46" s="81" t="s">
        <v>91</v>
      </c>
      <c r="B46" s="180">
        <v>0.1</v>
      </c>
      <c r="C46" s="81"/>
      <c r="D46" s="81"/>
      <c r="E46" s="81"/>
      <c r="F46" s="81"/>
      <c r="G46" s="81"/>
      <c r="H46" s="81"/>
      <c r="I46" s="81"/>
    </row>
    <row r="47" spans="1:9" hidden="1" outlineLevel="1">
      <c r="A47" s="81" t="s">
        <v>92</v>
      </c>
      <c r="B47" s="179"/>
      <c r="C47" s="157">
        <f>Инв!C24</f>
        <v>12946.428571428571</v>
      </c>
      <c r="D47" s="157">
        <f t="shared" ref="D47:I47" si="23">C50</f>
        <v>11651.785714285714</v>
      </c>
      <c r="E47" s="157">
        <f t="shared" si="23"/>
        <v>10357.142857142857</v>
      </c>
      <c r="F47" s="157">
        <f t="shared" si="23"/>
        <v>9062.5</v>
      </c>
      <c r="G47" s="157">
        <f t="shared" si="23"/>
        <v>7767.8571428571431</v>
      </c>
      <c r="H47" s="157">
        <f t="shared" si="23"/>
        <v>6473.2142857142862</v>
      </c>
      <c r="I47" s="157">
        <f t="shared" si="23"/>
        <v>5178.5714285714294</v>
      </c>
    </row>
    <row r="48" spans="1:9" hidden="1" outlineLevel="1">
      <c r="A48" s="81" t="s">
        <v>93</v>
      </c>
      <c r="B48" s="179"/>
      <c r="C48" s="157"/>
      <c r="D48" s="157"/>
      <c r="E48" s="157"/>
      <c r="F48" s="157"/>
      <c r="G48" s="157"/>
      <c r="H48" s="157"/>
      <c r="I48" s="157"/>
    </row>
    <row r="49" spans="1:9" hidden="1" outlineLevel="1">
      <c r="A49" s="159" t="s">
        <v>94</v>
      </c>
      <c r="B49" s="159"/>
      <c r="C49" s="158">
        <f t="shared" ref="C49:I49" si="24">$C47*$B46</f>
        <v>1294.6428571428571</v>
      </c>
      <c r="D49" s="158">
        <f t="shared" si="24"/>
        <v>1294.6428571428571</v>
      </c>
      <c r="E49" s="158">
        <f t="shared" si="24"/>
        <v>1294.6428571428571</v>
      </c>
      <c r="F49" s="158">
        <f t="shared" si="24"/>
        <v>1294.6428571428571</v>
      </c>
      <c r="G49" s="158">
        <f t="shared" si="24"/>
        <v>1294.6428571428571</v>
      </c>
      <c r="H49" s="158">
        <f t="shared" si="24"/>
        <v>1294.6428571428571</v>
      </c>
      <c r="I49" s="158">
        <f t="shared" si="24"/>
        <v>1294.6428571428571</v>
      </c>
    </row>
    <row r="50" spans="1:9" hidden="1" outlineLevel="1">
      <c r="A50" s="81" t="s">
        <v>95</v>
      </c>
      <c r="B50" s="179"/>
      <c r="C50" s="157">
        <f t="shared" ref="C50:I50" si="25">C47+C48-C49</f>
        <v>11651.785714285714</v>
      </c>
      <c r="D50" s="157">
        <f t="shared" si="25"/>
        <v>10357.142857142857</v>
      </c>
      <c r="E50" s="157">
        <f t="shared" si="25"/>
        <v>9062.5</v>
      </c>
      <c r="F50" s="157">
        <f t="shared" si="25"/>
        <v>7767.8571428571431</v>
      </c>
      <c r="G50" s="157">
        <f t="shared" si="25"/>
        <v>6473.2142857142862</v>
      </c>
      <c r="H50" s="157">
        <f t="shared" si="25"/>
        <v>5178.5714285714294</v>
      </c>
      <c r="I50" s="157">
        <f t="shared" si="25"/>
        <v>3883.9285714285725</v>
      </c>
    </row>
    <row r="51" spans="1:9" collapsed="1"/>
  </sheetData>
  <mergeCells count="1">
    <mergeCell ref="A26:F26"/>
  </mergeCells>
  <pageMargins left="0.75" right="0.75" top="0.3" bottom="1.36" header="0.2" footer="0.3"/>
  <pageSetup paperSize="9" orientation="landscape" r:id="rId1"/>
  <headerFooter alignWithMargins="0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18</vt:i4>
      </vt:variant>
    </vt:vector>
  </HeadingPairs>
  <TitlesOfParts>
    <vt:vector size="31" baseType="lpstr">
      <vt:lpstr>1-Ф3</vt:lpstr>
      <vt:lpstr>2-ф2</vt:lpstr>
      <vt:lpstr>3-Баланс</vt:lpstr>
      <vt:lpstr>Исх</vt:lpstr>
      <vt:lpstr>Дох</vt:lpstr>
      <vt:lpstr>Расх перем</vt:lpstr>
      <vt:lpstr>Производство</vt:lpstr>
      <vt:lpstr>ФОТ</vt:lpstr>
      <vt:lpstr>Пост</vt:lpstr>
      <vt:lpstr>кр</vt:lpstr>
      <vt:lpstr>Инв</vt:lpstr>
      <vt:lpstr>безубыт</vt:lpstr>
      <vt:lpstr>для текста</vt:lpstr>
      <vt:lpstr>'2-ф2'!Заголовки_для_печати</vt:lpstr>
      <vt:lpstr>'3-Баланс'!Заголовки_для_печати</vt:lpstr>
      <vt:lpstr>Инв!Заголовки_для_печати</vt:lpstr>
      <vt:lpstr>кр!Заголовки_для_печати</vt:lpstr>
      <vt:lpstr>Производство!Заголовки_для_печати</vt:lpstr>
      <vt:lpstr>ФОТ!Заголовки_для_печати</vt:lpstr>
      <vt:lpstr>ндс</vt:lpstr>
      <vt:lpstr>'1-Ф3'!Область_печати</vt:lpstr>
      <vt:lpstr>'2-ф2'!Область_печати</vt:lpstr>
      <vt:lpstr>'3-Баланс'!Область_печати</vt:lpstr>
      <vt:lpstr>'для текста'!Область_печати</vt:lpstr>
      <vt:lpstr>Инв!Область_печати</vt:lpstr>
      <vt:lpstr>Исх!Область_печати</vt:lpstr>
      <vt:lpstr>кр!Область_печати</vt:lpstr>
      <vt:lpstr>Пост!Область_печати</vt:lpstr>
      <vt:lpstr>Производство!Область_печати</vt:lpstr>
      <vt:lpstr>'Расх перем'!Область_печати</vt:lpstr>
      <vt:lpstr>ФОТ!Область_печати</vt:lpstr>
    </vt:vector>
  </TitlesOfParts>
  <Company>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ТЭО</dc:title>
  <dc:creator>m_anfinogenov</dc:creator>
  <cp:lastModifiedBy>HP</cp:lastModifiedBy>
  <cp:lastPrinted>2012-01-05T06:12:20Z</cp:lastPrinted>
  <dcterms:created xsi:type="dcterms:W3CDTF">2006-03-01T15:11:19Z</dcterms:created>
  <dcterms:modified xsi:type="dcterms:W3CDTF">2012-01-26T05:01:11Z</dcterms:modified>
</cp:coreProperties>
</file>