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59" activeTab="4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Производство" sheetId="6" r:id="rId6"/>
    <sheet name="Расх перем" sheetId="7" r:id="rId7"/>
    <sheet name="ФОТ" sheetId="8" r:id="rId8"/>
    <sheet name="Пост" sheetId="9" r:id="rId9"/>
    <sheet name="кр" sheetId="10" r:id="rId10"/>
    <sheet name="Инв" sheetId="11" r:id="rId11"/>
    <sheet name="безубыт" sheetId="12" r:id="rId12"/>
    <sheet name="Осн.пок-ли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8">#REF!</definedName>
    <definedName name="Ed." localSheetId="5">#REF!</definedName>
    <definedName name="Ed." localSheetId="6">#REF!</definedName>
    <definedName name="Ed." localSheetId="7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5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5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5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5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5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5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5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5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5">'[59]Главн'!$C$35</definedName>
    <definedName name="inf">'[21]Главн'!$C$35</definedName>
    <definedName name="kpn1" localSheetId="9">'[32]Главн'!$D$46</definedName>
    <definedName name="kpn1" localSheetId="5">'[59]Главн'!$D$46</definedName>
    <definedName name="kpn1">'[21]Главн'!$D$46</definedName>
    <definedName name="kpn2" localSheetId="9">'[32]Главн'!$E$46</definedName>
    <definedName name="kpn2" localSheetId="5">'[59]Главн'!$E$46</definedName>
    <definedName name="kpn2">'[21]Главн'!$E$46</definedName>
    <definedName name="kpn3" localSheetId="9">'[32]Главн'!$F$46</definedName>
    <definedName name="kpn3" localSheetId="5">'[59]Главн'!$F$46</definedName>
    <definedName name="kpn3">'[21]Главн'!$F$46</definedName>
    <definedName name="kpn4" localSheetId="9">'[32]Главн'!$G$46</definedName>
    <definedName name="kpn4" localSheetId="5">'[59]Главн'!$G$46</definedName>
    <definedName name="kpn4">'[21]Главн'!$G$46</definedName>
    <definedName name="kpn5" localSheetId="9">'[32]Главн'!$H$46</definedName>
    <definedName name="kpn5" localSheetId="5">'[59]Главн'!$H$46</definedName>
    <definedName name="kpn5">'[21]Главн'!$H$46</definedName>
    <definedName name="kpn6" localSheetId="9">'[32]Главн'!$I$46</definedName>
    <definedName name="kpn6" localSheetId="5">'[59]Главн'!$I$46</definedName>
    <definedName name="kpn6">'[21]Главн'!$I$46</definedName>
    <definedName name="kpn7" localSheetId="9">'[32]Главн'!$J$46</definedName>
    <definedName name="kpn7" localSheetId="5">'[59]Главн'!$J$46</definedName>
    <definedName name="kpn7">'[21]Главн'!$J$46</definedName>
    <definedName name="kpn8" localSheetId="9">'[32]Главн'!$K$46</definedName>
    <definedName name="kpn8" localSheetId="5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5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5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5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5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5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5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5">'[59]Главн'!$C$2</definedName>
    <definedName name="name">'[21]Главн'!$C$2</definedName>
    <definedName name="nds1" localSheetId="9">'[32]Главн'!$D$42</definedName>
    <definedName name="nds1" localSheetId="5">'[59]Главн'!$D$42</definedName>
    <definedName name="nds1">'[21]Главн'!$D$42</definedName>
    <definedName name="nds2" localSheetId="9">'[32]Главн'!$E$42</definedName>
    <definedName name="nds2" localSheetId="5">'[59]Главн'!$E$42</definedName>
    <definedName name="nds2">'[21]Главн'!$E$42</definedName>
    <definedName name="nds3" localSheetId="9">'[32]Главн'!$F$42</definedName>
    <definedName name="nds3" localSheetId="5">'[59]Главн'!$F$42</definedName>
    <definedName name="nds3">'[21]Главн'!$F$42</definedName>
    <definedName name="nds4" localSheetId="9">'[32]Главн'!$G$42</definedName>
    <definedName name="nds4" localSheetId="5">'[59]Главн'!$G$42</definedName>
    <definedName name="nds4">'[21]Главн'!$G$42</definedName>
    <definedName name="nds5" localSheetId="9">'[32]Главн'!$H$42</definedName>
    <definedName name="nds5" localSheetId="5">'[59]Главн'!$H$42</definedName>
    <definedName name="nds5">'[21]Главн'!$H$42</definedName>
    <definedName name="nds6" localSheetId="9">'[32]Главн'!$I$42</definedName>
    <definedName name="nds6" localSheetId="5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5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8">'[7]Свод'!#REF!</definedName>
    <definedName name="RUR" localSheetId="5">'[7]Свод'!#REF!</definedName>
    <definedName name="RUR" localSheetId="6">'[7]Свод'!#REF!</definedName>
    <definedName name="RUR" localSheetId="7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5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5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5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8">'[23]объекты обществаКокшетау'!#REF!</definedName>
    <definedName name="баланс_стоимость" localSheetId="5">'[61]объекты обществаКокшетау'!#REF!</definedName>
    <definedName name="баланс_стоимость" localSheetId="6">'[23]объекты обществаКокшетау'!#REF!</definedName>
    <definedName name="баланс_стоимость" localSheetId="7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5">#REF!</definedName>
    <definedName name="Вал">#REF!</definedName>
    <definedName name="ВалП1" localSheetId="2">#REF!</definedName>
    <definedName name="ВалП1" localSheetId="4">#REF!</definedName>
    <definedName name="ВалП1" localSheetId="8">#REF!</definedName>
    <definedName name="ВалП1" localSheetId="5">#REF!</definedName>
    <definedName name="ВалП1" localSheetId="6">#REF!</definedName>
    <definedName name="ВалП1" localSheetId="7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5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5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8">'[23]объекты обществаКокшетау'!#REF!</definedName>
    <definedName name="всего_долл" localSheetId="5">'[61]объекты обществаКокшетау'!#REF!</definedName>
    <definedName name="всего_долл" localSheetId="6">'[23]объекты обществаКокшетау'!#REF!</definedName>
    <definedName name="всего_долл" localSheetId="7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8">#REF!</definedName>
    <definedName name="долл" localSheetId="5">#REF!</definedName>
    <definedName name="долл" localSheetId="6">#REF!</definedName>
    <definedName name="долл" localSheetId="7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5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5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8">#REF!</definedName>
    <definedName name="дсша" localSheetId="5">#REF!</definedName>
    <definedName name="дсша" localSheetId="6">#REF!</definedName>
    <definedName name="дсша" localSheetId="7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5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5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'Инв'!$A:$A,'Инв'!$4:$4</definedName>
    <definedName name="_xlnm.Print_Titles" localSheetId="9">'кр'!$A:$B</definedName>
    <definedName name="_xlnm.Print_Titles" localSheetId="5">'Производство'!$A:$A</definedName>
    <definedName name="_xlnm.Print_Titles" localSheetId="7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5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5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5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5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8">#REF!</definedName>
    <definedName name="Инт" localSheetId="5">#REF!</definedName>
    <definedName name="Инт" localSheetId="6">#REF!</definedName>
    <definedName name="Инт" localSheetId="7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8">'[23]объекты обществаКокшетау'!#REF!</definedName>
    <definedName name="итого_в_долл" localSheetId="5">'[61]объекты обществаКокшетау'!#REF!</definedName>
    <definedName name="итого_в_долл" localSheetId="6">'[23]объекты обществаКокшетау'!#REF!</definedName>
    <definedName name="итого_в_долл" localSheetId="7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5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8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 localSheetId="7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8">#REF!</definedName>
    <definedName name="кндс" localSheetId="5">#REF!</definedName>
    <definedName name="кндс" localSheetId="6">#REF!</definedName>
    <definedName name="кндс" localSheetId="7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5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8">#REF!</definedName>
    <definedName name="компресс" localSheetId="5">#REF!</definedName>
    <definedName name="компресс" localSheetId="6">#REF!</definedName>
    <definedName name="компресс" localSheetId="7">#REF!</definedName>
    <definedName name="компресс">#REF!</definedName>
    <definedName name="кре" localSheetId="2">#REF!</definedName>
    <definedName name="кре" localSheetId="9">#REF!</definedName>
    <definedName name="кре" localSheetId="5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8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 localSheetId="7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8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 localSheetId="7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8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 localSheetId="7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5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5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8">'[23]объекты обществаКокшетау'!#REF!</definedName>
    <definedName name="курс_НБРК" localSheetId="5">'[61]объекты обществаКокшетау'!#REF!</definedName>
    <definedName name="курс_НБРК" localSheetId="6">'[23]объекты обществаКокшетау'!#REF!</definedName>
    <definedName name="курс_НБРК" localSheetId="7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8">#REF!</definedName>
    <definedName name="Курс1" localSheetId="5">#REF!</definedName>
    <definedName name="Курс1" localSheetId="6">#REF!</definedName>
    <definedName name="Курс1" localSheetId="7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8">'[14]Финпоки1'!#REF!</definedName>
    <definedName name="Курс10" localSheetId="5">'[14]Финпоки1'!#REF!</definedName>
    <definedName name="Курс10" localSheetId="6">'[14]Финпоки1'!#REF!</definedName>
    <definedName name="Курс10" localSheetId="7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5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5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5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8">#REF!</definedName>
    <definedName name="металлоформы" localSheetId="5">#REF!</definedName>
    <definedName name="металлоформы" localSheetId="6">#REF!</definedName>
    <definedName name="металлоформы" localSheetId="7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5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5">'[58]Исх'!$C$7</definedName>
    <definedName name="НДС" localSheetId="7">'ФОТ'!#REF!</definedName>
    <definedName name="ндс">'Исх'!$C$18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5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'1-Ф3'!$A$1:$AU$34</definedName>
    <definedName name="_xlnm.Print_Area" localSheetId="1">'2-ф2'!$A$1:$AU$27</definedName>
    <definedName name="_xlnm.Print_Area" localSheetId="2">'3-Баланс'!$A$1:$AU$26</definedName>
    <definedName name="_xlnm.Print_Area" localSheetId="10">'Инв'!$A$1:$R$21</definedName>
    <definedName name="_xlnm.Print_Area" localSheetId="3">'Исх'!$A$1:$M$57</definedName>
    <definedName name="_xlnm.Print_Area" localSheetId="9">'кр'!$A$1:$DO$29</definedName>
    <definedName name="_xlnm.Print_Area" localSheetId="12">'Осн.пок-ли'!$A$1:$J$66</definedName>
    <definedName name="_xlnm.Print_Area" localSheetId="8">'Пост'!$A$1:$V$55</definedName>
    <definedName name="_xlnm.Print_Area" localSheetId="5">'Производство'!$A$1:$AU$13</definedName>
    <definedName name="_xlnm.Print_Area" localSheetId="6">'Расх перем'!$A$1:$G$15</definedName>
    <definedName name="_xlnm.Print_Area" localSheetId="7">'ФОТ'!$A$1:$K$29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8">'2-ф2'!#REF!</definedName>
    <definedName name="обм" localSheetId="5">'Производство'!#REF!</definedName>
    <definedName name="обм" localSheetId="6">'2-ф2'!#REF!</definedName>
    <definedName name="обм" localSheetId="7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8">#REF!</definedName>
    <definedName name="оборудование_ЖД" localSheetId="5">#REF!</definedName>
    <definedName name="оборудование_ЖД" localSheetId="6">#REF!</definedName>
    <definedName name="оборудование_ЖД" localSheetId="7">#REF!</definedName>
    <definedName name="оборудование_ЖД">#REF!</definedName>
    <definedName name="общ" localSheetId="2">#REF!</definedName>
    <definedName name="общ" localSheetId="9">#REF!</definedName>
    <definedName name="общ" localSheetId="5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5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8">#REF!</definedName>
    <definedName name="подстанция" localSheetId="5">#REF!</definedName>
    <definedName name="подстанция" localSheetId="6">#REF!</definedName>
    <definedName name="подстанция" localSheetId="7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5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5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5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8">#REF!</definedName>
    <definedName name="рбу" localSheetId="5">#REF!</definedName>
    <definedName name="рбу" localSheetId="6">#REF!</definedName>
    <definedName name="рбу" localSheetId="7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5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8">#REF!</definedName>
    <definedName name="руб" localSheetId="5">#REF!</definedName>
    <definedName name="руб" localSheetId="6">#REF!</definedName>
    <definedName name="руб" localSheetId="7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8">'2-ф2'!#REF!</definedName>
    <definedName name="себ" localSheetId="5">'Производство'!#REF!</definedName>
    <definedName name="себ" localSheetId="6">'2-ф2'!#REF!</definedName>
    <definedName name="себ" localSheetId="7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8">#REF!</definedName>
    <definedName name="склад_продукции" localSheetId="5">#REF!</definedName>
    <definedName name="склад_продукции" localSheetId="6">#REF!</definedName>
    <definedName name="склад_продукции" localSheetId="7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8">#REF!</definedName>
    <definedName name="склад_цем" localSheetId="5">#REF!</definedName>
    <definedName name="склад_цем" localSheetId="6">#REF!</definedName>
    <definedName name="склад_цем" localSheetId="7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5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5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5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5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5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8">#REF!</definedName>
    <definedName name="спецодежда" localSheetId="5">#REF!</definedName>
    <definedName name="спецодежда" localSheetId="6">#REF!</definedName>
    <definedName name="спецодежда" localSheetId="7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5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5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5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5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5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 localSheetId="5">'[61]объекты обществаКокшетау'!#REF!</definedName>
    <definedName name="стоимость_в_долларах" localSheetId="6">'[23]объекты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5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5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5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5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5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8">#REF!</definedName>
    <definedName name="тг" localSheetId="5">#REF!</definedName>
    <definedName name="тг" localSheetId="6">#REF!</definedName>
    <definedName name="тг" localSheetId="7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8">#REF!</definedName>
    <definedName name="ТовРеал1" localSheetId="5">#REF!</definedName>
    <definedName name="ТовРеал1" localSheetId="6">#REF!</definedName>
    <definedName name="ТовРеал1" localSheetId="7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5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8">'[9]Дох'!#REF!</definedName>
    <definedName name="Цена_бобов" localSheetId="5">'[9]Дох'!#REF!</definedName>
    <definedName name="Цена_бобов" localSheetId="6">'[9]Дох'!#REF!</definedName>
    <definedName name="Цена_бобов" localSheetId="7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8">#REF!</definedName>
    <definedName name="цех_пби" localSheetId="5">#REF!</definedName>
    <definedName name="цех_пби" localSheetId="6">#REF!</definedName>
    <definedName name="цех_пби" localSheetId="7">#REF!</definedName>
    <definedName name="цех_пби">#REF!</definedName>
    <definedName name="цр" localSheetId="2">#REF!</definedName>
    <definedName name="цр">#REF!</definedName>
  </definedNames>
  <calcPr fullCalcOnLoad="1"/>
</workbook>
</file>

<file path=xl/comments1.xml><?xml version="1.0" encoding="utf-8"?>
<comments xmlns="http://schemas.openxmlformats.org/spreadsheetml/2006/main">
  <authors>
    <author>МСБ консалтинг</author>
  </authors>
  <commentList>
    <comment ref="O12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запас на 1,5-2 месяца</t>
        </r>
      </text>
    </comment>
  </commentList>
</comments>
</file>

<file path=xl/sharedStrings.xml><?xml version="1.0" encoding="utf-8"?>
<sst xmlns="http://schemas.openxmlformats.org/spreadsheetml/2006/main" count="624" uniqueCount="403">
  <si>
    <t>Итого</t>
  </si>
  <si>
    <t>ВСЕГО</t>
  </si>
  <si>
    <t>Налог на имущество</t>
  </si>
  <si>
    <t xml:space="preserve">Наименование          </t>
  </si>
  <si>
    <t>Чистый доход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</si>
  <si>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</si>
  <si>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</si>
  <si>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</si>
  <si>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</si>
  <si>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</si>
  <si>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</si>
  <si>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</si>
  <si>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итого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</si>
  <si>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</si>
  <si>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</si>
  <si>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</si>
  <si>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</si>
  <si>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</si>
  <si>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</si>
  <si>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</si>
  <si>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</si>
  <si>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 xml:space="preserve">Приобретение ОС и НА 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</si>
  <si>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</si>
  <si>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</si>
  <si>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</si>
  <si>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</si>
  <si>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</si>
  <si>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</si>
  <si>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</si>
  <si>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</si>
  <si>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</si>
  <si>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</si>
  <si>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Кумулятивный чистый доход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</si>
  <si>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</si>
  <si>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</si>
  <si>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</si>
  <si>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</si>
  <si>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</si>
  <si>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</si>
  <si>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</si>
  <si>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</si>
  <si>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</si>
  <si>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</si>
  <si>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</si>
  <si>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</si>
  <si>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</si>
  <si>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Прочие непредвиденные расходы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</si>
  <si>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</si>
  <si>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</si>
  <si>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</si>
  <si>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</si>
  <si>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</si>
  <si>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</si>
  <si>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</si>
  <si>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Проценты за кредит</t>
  </si>
  <si>
    <t>Остаток на конец отчетного периода</t>
  </si>
  <si>
    <t xml:space="preserve">Поступления по вкладам учредителей 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</si>
  <si>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</si>
  <si>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</si>
  <si>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</si>
  <si>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</si>
  <si>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</si>
  <si>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</si>
  <si>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</si>
  <si>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</si>
  <si>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</si>
  <si>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</si>
  <si>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</si>
  <si>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</si>
  <si>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</si>
  <si>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</si>
  <si>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</si>
  <si>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</si>
  <si>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</si>
  <si>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</si>
  <si>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</si>
  <si>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</si>
  <si>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</si>
  <si>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</si>
  <si>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Расходы на рекламу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</si>
  <si>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</si>
  <si>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</si>
  <si>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</si>
  <si>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</si>
  <si>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</si>
  <si>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</si>
  <si>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</si>
  <si>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</si>
  <si>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</si>
  <si>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</si>
  <si>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</si>
  <si>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</si>
  <si>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</si>
  <si>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</si>
  <si>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</si>
  <si>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</si>
  <si>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</si>
  <si>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</si>
  <si>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</si>
  <si>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Освоение и погашение кредитных ресурсов, тыс.тг.</t>
  </si>
  <si>
    <t>Обслуживание и ремонт ОС</t>
  </si>
  <si>
    <t>Налог на транспорт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</si>
  <si>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</si>
  <si>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</si>
  <si>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</si>
  <si>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</si>
  <si>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</si>
  <si>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</si>
  <si>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</si>
  <si>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</si>
  <si>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</si>
  <si>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год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</si>
  <si>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</si>
  <si>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</si>
  <si>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</si>
  <si>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</si>
  <si>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</si>
  <si>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</si>
  <si>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</si>
  <si>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</si>
  <si>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</si>
  <si>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</si>
  <si>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Прочие долгосрочные активы</t>
  </si>
  <si>
    <t>Пассивы</t>
  </si>
  <si>
    <t>Краткосрочные обязательства</t>
  </si>
  <si>
    <t>Обязательства по налогам</t>
  </si>
  <si>
    <t>Краткосрочная кредиторская задолженность</t>
  </si>
  <si>
    <t>Обязательства по кредитам</t>
  </si>
  <si>
    <t>Прочие краткосрочные обязательства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</si>
  <si>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</si>
  <si>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</si>
  <si>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</si>
  <si>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</si>
  <si>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</si>
  <si>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</si>
  <si>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</si>
  <si>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</si>
  <si>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</si>
  <si>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</si>
  <si>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</si>
  <si>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</si>
  <si>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</si>
  <si>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</si>
  <si>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</si>
  <si>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</si>
  <si>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</si>
  <si>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</si>
  <si>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</si>
  <si>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</si>
  <si>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</si>
  <si>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</si>
  <si>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</si>
  <si>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</si>
  <si>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</si>
  <si>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</si>
  <si>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Кол-во</t>
  </si>
  <si>
    <t>Цена</t>
  </si>
  <si>
    <t>Курс рос.рубль/тенге</t>
  </si>
  <si>
    <t>метод WACC</t>
  </si>
  <si>
    <t>Выплаты по кредитам</t>
  </si>
  <si>
    <t>Поступления по кредитам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</si>
  <si>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</si>
  <si>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</si>
  <si>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</si>
  <si>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</si>
  <si>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</si>
  <si>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</si>
  <si>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</si>
  <si>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</si>
  <si>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</si>
  <si>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</si>
  <si>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</si>
  <si>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</si>
  <si>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</si>
  <si>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Льготный период погашения процентов, мес.</t>
  </si>
  <si>
    <t>Льготный период погашения основного долга,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</si>
  <si>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</si>
  <si>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</si>
  <si>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</si>
  <si>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</si>
  <si>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</si>
  <si>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Мероприятия\Месяц</t>
  </si>
  <si>
    <t>Решение вопроса финансирования</t>
  </si>
  <si>
    <t>Получение кредита</t>
  </si>
  <si>
    <t>Здания и сооружения</t>
  </si>
  <si>
    <t>Наименование</t>
  </si>
  <si>
    <t>Величина налоговых поступлений за 7 лет, тыс.тг.</t>
  </si>
  <si>
    <t>Налоги и обязательные платежи от ФОТ</t>
  </si>
  <si>
    <t>Вид налога</t>
  </si>
  <si>
    <t>Сумма, тыс.тг.</t>
  </si>
  <si>
    <t>Техника</t>
  </si>
  <si>
    <t>Продукция</t>
  </si>
  <si>
    <t>Производство</t>
  </si>
  <si>
    <t>ед.изм.</t>
  </si>
  <si>
    <t>Срок погашения, лет</t>
  </si>
  <si>
    <t>Налог на имущество и транспорт</t>
  </si>
  <si>
    <t>Переменные расходы</t>
  </si>
  <si>
    <t>Производительность</t>
  </si>
  <si>
    <t>Цены на продукцию</t>
  </si>
  <si>
    <t>Загрузка, %</t>
  </si>
  <si>
    <t>Сырье и материалы</t>
  </si>
  <si>
    <t>Мощность, %</t>
  </si>
  <si>
    <t>дн./мес.</t>
  </si>
  <si>
    <t>Доход до выплаты налогов</t>
  </si>
  <si>
    <t>Наименование материала</t>
  </si>
  <si>
    <t>Хоз.товары</t>
  </si>
  <si>
    <t>Расходы, тыс.тг.</t>
  </si>
  <si>
    <t>Источник финансирования, тыс.тг.</t>
  </si>
  <si>
    <t>Примечание</t>
  </si>
  <si>
    <t>Доля собственного участия</t>
  </si>
  <si>
    <t>Время работы в мес.</t>
  </si>
  <si>
    <t>КПН</t>
  </si>
  <si>
    <t>Месячная производительность</t>
  </si>
  <si>
    <t>Цены</t>
  </si>
  <si>
    <t>Коммунальные расходы</t>
  </si>
  <si>
    <t>Корпоративный подоходный налог</t>
  </si>
  <si>
    <t>НК РК</t>
  </si>
  <si>
    <t>Ед.изм.</t>
  </si>
  <si>
    <t>с НДС</t>
  </si>
  <si>
    <t>Цена, тенге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</si>
  <si>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</si>
  <si>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</si>
  <si>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</si>
  <si>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</si>
  <si>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</si>
  <si>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</si>
  <si>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</si>
  <si>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</si>
  <si>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</si>
  <si>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</si>
  <si>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</si>
  <si>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</si>
  <si>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</si>
  <si>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исходя из дневной производительности и дней работы</t>
  </si>
  <si>
    <t>цена, тг.</t>
  </si>
  <si>
    <t>Производство и реализация</t>
  </si>
  <si>
    <t>Реализация</t>
  </si>
  <si>
    <t>Остаток продукции на конец</t>
  </si>
  <si>
    <t>контроль</t>
  </si>
  <si>
    <t>Оператор</t>
  </si>
  <si>
    <t>Доля в выручке</t>
  </si>
  <si>
    <t>Итого себестоимость полная</t>
  </si>
  <si>
    <t>Постоянные расходы на единицу</t>
  </si>
  <si>
    <t>Постоянные расходы всего, тыс.тг.</t>
  </si>
  <si>
    <t>Контроль</t>
  </si>
  <si>
    <t>ГСМ</t>
  </si>
  <si>
    <t>кВт</t>
  </si>
  <si>
    <t>Фактор сезонности продаж</t>
  </si>
  <si>
    <t>Директор</t>
  </si>
  <si>
    <t>Главный бухгалтер</t>
  </si>
  <si>
    <t>Водитель</t>
  </si>
  <si>
    <t>Рентабельность, %</t>
  </si>
  <si>
    <t>Спецодежда, перчатки, хоз.товары</t>
  </si>
  <si>
    <t>Услуги банка</t>
  </si>
  <si>
    <t>Командировочные расходы</t>
  </si>
  <si>
    <t>Канц.товары</t>
  </si>
  <si>
    <t>Транспортные расходы</t>
  </si>
  <si>
    <t>Незавершенное строительство</t>
  </si>
  <si>
    <t>Аннуитет</t>
  </si>
  <si>
    <t>Погашение ОД равными долями</t>
  </si>
  <si>
    <t>аннуитет</t>
  </si>
  <si>
    <t>Финансовые показатели</t>
  </si>
  <si>
    <t>Проведение маркетингового исследования и разработка бизнес-плана</t>
  </si>
  <si>
    <t>Первоначальные инвестиции</t>
  </si>
  <si>
    <t>Постоянные расходы в год</t>
  </si>
  <si>
    <t>тг./кВт*ч с НДС</t>
  </si>
  <si>
    <t>Теплоэнергия</t>
  </si>
  <si>
    <t>Продолжительность 1 смены</t>
  </si>
  <si>
    <t>час</t>
  </si>
  <si>
    <t>кг</t>
  </si>
  <si>
    <t>Прибыль, тг./ед.</t>
  </si>
  <si>
    <t>Количество смен</t>
  </si>
  <si>
    <t>Разнорабочий</t>
  </si>
  <si>
    <t>Инженер-технолог</t>
  </si>
  <si>
    <t>смен/сутки</t>
  </si>
  <si>
    <t>Зав.складом</t>
  </si>
  <si>
    <t>Электроэнергия</t>
  </si>
  <si>
    <t>помимо производства</t>
  </si>
  <si>
    <t>ДТ за оборудование</t>
  </si>
  <si>
    <t>Ввод ОС (с НДС)</t>
  </si>
  <si>
    <t>СВОД</t>
  </si>
  <si>
    <t>Транш 1</t>
  </si>
  <si>
    <t>Транш 2</t>
  </si>
  <si>
    <t>Транш 3</t>
  </si>
  <si>
    <t>Транш 4</t>
  </si>
  <si>
    <t>Основные параметры</t>
  </si>
  <si>
    <t>Параметр</t>
  </si>
  <si>
    <t>Условия кредитования</t>
  </si>
  <si>
    <t>Выручка, тыс.тг.</t>
  </si>
  <si>
    <t>Валовая прибыль, тыс.тг.</t>
  </si>
  <si>
    <t>Чистая прибыль, тыс.тг.</t>
  </si>
  <si>
    <t>Чистая рентабельность, %</t>
  </si>
  <si>
    <t>Показатели эффективности проекта</t>
  </si>
  <si>
    <t>Планируемая программа производства</t>
  </si>
  <si>
    <t>июл</t>
  </si>
  <si>
    <t>авг</t>
  </si>
  <si>
    <t>сен</t>
  </si>
  <si>
    <t>окт</t>
  </si>
  <si>
    <t>ноя</t>
  </si>
  <si>
    <t>дек</t>
  </si>
  <si>
    <t>янв</t>
  </si>
  <si>
    <t>фев</t>
  </si>
  <si>
    <t>мар</t>
  </si>
  <si>
    <t>2013 год</t>
  </si>
  <si>
    <t>% повышения</t>
  </si>
  <si>
    <t>ведение счета + снятие наличных</t>
  </si>
  <si>
    <t>буклеты, флаера</t>
  </si>
  <si>
    <t>Проектирование</t>
  </si>
  <si>
    <t>Бухгалтер-кассир</t>
  </si>
  <si>
    <t>Услуги охранной фирмы</t>
  </si>
  <si>
    <t>1 пост</t>
  </si>
  <si>
    <t>Доля от год продаж</t>
  </si>
  <si>
    <t>В среднем</t>
  </si>
  <si>
    <t>Уборщица</t>
  </si>
  <si>
    <t>Дворник</t>
  </si>
  <si>
    <t>Электрик</t>
  </si>
  <si>
    <t>Механик</t>
  </si>
  <si>
    <t>Себестоимость, тг./ед.</t>
  </si>
  <si>
    <t>производственная</t>
  </si>
  <si>
    <t>полная</t>
  </si>
  <si>
    <t>чистая</t>
  </si>
  <si>
    <t>Цена, тг.</t>
  </si>
  <si>
    <t>НБ РК</t>
  </si>
  <si>
    <t>Курс кит.юань/тенге</t>
  </si>
  <si>
    <t>Строительство производственного цеха</t>
  </si>
  <si>
    <t>Земельный участок</t>
  </si>
  <si>
    <t>аренда</t>
  </si>
  <si>
    <t>http://asia-business.ru/price/table/index.php?inside_admin=1&amp;div1=1&amp;div2=55&amp;p=14817&amp;ref=yes#14817</t>
  </si>
  <si>
    <t>Упаковочная линия</t>
  </si>
  <si>
    <t>http://www.asia-business.ru/price/table/index.php?div1=36&amp;div2=95&amp;p=14818&amp;ref=yes#14818</t>
  </si>
  <si>
    <t>Вилочный погрузчик</t>
  </si>
  <si>
    <t>Ввод ОС (без НДС)</t>
  </si>
  <si>
    <t>60-80 м/мин</t>
  </si>
  <si>
    <t>м/мин</t>
  </si>
  <si>
    <t>300 дней в году</t>
  </si>
  <si>
    <t>тыс.м/мес</t>
  </si>
  <si>
    <t>Длина 1 рулона</t>
  </si>
  <si>
    <t>м/рулон</t>
  </si>
  <si>
    <t>тыс.рулон/мес</t>
  </si>
  <si>
    <t>http://www.asia-business.ru/torg/equipment/stroy/stroy_1556.html</t>
  </si>
  <si>
    <t>Бумага для обоев</t>
  </si>
  <si>
    <t>тг./рулон (с НДС)</t>
  </si>
  <si>
    <t>тыс.тг./тн (с НДС)</t>
  </si>
  <si>
    <t>Нормы, нормативы</t>
  </si>
  <si>
    <t>Вес бумаги для обоев</t>
  </si>
  <si>
    <t>г/м2</t>
  </si>
  <si>
    <t>75-105 г</t>
  </si>
  <si>
    <t>http://www.kbfg.ru/product/proizvod_oboev/vspenenih_vinilovih.php</t>
  </si>
  <si>
    <t>Обслуживающий персонал</t>
  </si>
  <si>
    <t>Мощность оборудования</t>
  </si>
  <si>
    <t>Оператор упаковочной линии</t>
  </si>
  <si>
    <t>Расход термоусадочной полиолефиновой пленки</t>
  </si>
  <si>
    <t>Термоусадочная полиолефиновая пленка</t>
  </si>
  <si>
    <t>тг./кг (с НДС)</t>
  </si>
  <si>
    <t>http://www.zavodprogress.ru/articles/detail.html?id=50351</t>
  </si>
  <si>
    <t>кг/рулон</t>
  </si>
  <si>
    <t>Поливинилхлорид</t>
  </si>
  <si>
    <t>100-300 г/м2</t>
  </si>
  <si>
    <t>100-400 г/м2</t>
  </si>
  <si>
    <t>Расход электроэнергии</t>
  </si>
  <si>
    <t>кВт*ч/мес</t>
  </si>
  <si>
    <t>Ширина рулона обоев</t>
  </si>
  <si>
    <t>см</t>
  </si>
  <si>
    <t>http://satu.kz/p1005202-pvc-pvh.html</t>
  </si>
  <si>
    <t>тг/кг (с НДС)</t>
  </si>
  <si>
    <t>Обои</t>
  </si>
  <si>
    <t>Линия по производству обоев</t>
  </si>
  <si>
    <t>http://t-light-krs.ru/index/bazy_dlja_izgotovlenija/0-42</t>
  </si>
  <si>
    <t>Пластизольная краска</t>
  </si>
  <si>
    <t>длина 10 м, ширина 70 см</t>
  </si>
  <si>
    <t>Норма расхода на 1 рулон</t>
  </si>
  <si>
    <t>Сумма на 1 рулон, тг.</t>
  </si>
  <si>
    <t>Площадь 1 рулона</t>
  </si>
  <si>
    <t>м2/рулон</t>
  </si>
  <si>
    <t>тыс. рулон</t>
  </si>
  <si>
    <t>на погрузчик, 20 л./день</t>
  </si>
  <si>
    <t>51 700 кВт*ч в месяц</t>
  </si>
  <si>
    <t>http://satu.kz/Vinilovye-oboi-tseny.html</t>
  </si>
  <si>
    <t>7% субсидирование</t>
  </si>
  <si>
    <t>Остаток денежных средств на начало</t>
  </si>
  <si>
    <t>Производство обоев</t>
  </si>
  <si>
    <t>Собственные средства</t>
  </si>
  <si>
    <t>Инвестиции в основной капитал</t>
  </si>
  <si>
    <t>Чистый денежный поток (к изъятию), тыс.тг.</t>
  </si>
  <si>
    <t>Показатель (4 год реализации проекта)</t>
  </si>
  <si>
    <t>Индекс окупаемости инвестиций (PI)</t>
  </si>
  <si>
    <t>Обои, тыс.рулонов</t>
  </si>
  <si>
    <t xml:space="preserve">          тыс.м</t>
  </si>
  <si>
    <t>2014 год</t>
  </si>
  <si>
    <t>СМР</t>
  </si>
  <si>
    <t>Аренда земельного участка</t>
  </si>
  <si>
    <t>Оплата за оборудование</t>
  </si>
  <si>
    <t>Начало производства</t>
  </si>
  <si>
    <t>Начало продаж</t>
  </si>
  <si>
    <t>Изготовление оборудования</t>
  </si>
  <si>
    <t>Поставка оборудования</t>
  </si>
  <si>
    <t>Производственный персонал</t>
  </si>
  <si>
    <t>Доход от реализации продукции</t>
  </si>
  <si>
    <t>Себестоимость реализ. продукции</t>
  </si>
  <si>
    <t>Тип погашения основного долга</t>
  </si>
  <si>
    <t>Доход от реализации</t>
  </si>
  <si>
    <t>Полная себестоимость</t>
  </si>
  <si>
    <t>рулон</t>
  </si>
</sst>
</file>

<file path=xl/styles.xml><?xml version="1.0" encoding="utf-8"?>
<styleSheet xmlns="http://schemas.openxmlformats.org/spreadsheetml/2006/main">
  <numFmts count="5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  <numFmt numFmtId="213" formatCode="#,##0.000000"/>
    <numFmt numFmtId="214" formatCode="#,##0.0000000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sz val="10"/>
      <name val="Calibri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sz val="8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" fillId="0" borderId="0">
      <alignment/>
      <protection/>
    </xf>
    <xf numFmtId="0" fontId="64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16" fillId="0" borderId="0" xfId="71" applyFont="1" applyFill="1" applyBorder="1" applyAlignment="1">
      <alignment/>
      <protection/>
    </xf>
    <xf numFmtId="0" fontId="5" fillId="0" borderId="0" xfId="71" applyFont="1" applyFill="1" applyBorder="1">
      <alignment/>
      <protection/>
    </xf>
    <xf numFmtId="0" fontId="5" fillId="0" borderId="0" xfId="7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9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center"/>
      <protection/>
    </xf>
    <xf numFmtId="0" fontId="18" fillId="0" borderId="0" xfId="71" applyFont="1" applyFill="1" applyBorder="1">
      <alignment/>
      <protection/>
    </xf>
    <xf numFmtId="14" fontId="5" fillId="0" borderId="0" xfId="71" applyNumberFormat="1" applyFont="1" applyFill="1" applyBorder="1">
      <alignment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2" fontId="16" fillId="33" borderId="10" xfId="71" applyNumberFormat="1" applyFont="1" applyFill="1" applyBorder="1" applyAlignment="1">
      <alignment wrapText="1"/>
      <protection/>
    </xf>
    <xf numFmtId="3" fontId="16" fillId="33" borderId="10" xfId="71" applyNumberFormat="1" applyFont="1" applyFill="1" applyBorder="1" applyAlignment="1">
      <alignment horizontal="right" wrapText="1"/>
      <protection/>
    </xf>
    <xf numFmtId="0" fontId="16" fillId="33" borderId="10" xfId="71" applyFont="1" applyFill="1" applyBorder="1" applyAlignment="1">
      <alignment horizontal="left" wrapText="1"/>
      <protection/>
    </xf>
    <xf numFmtId="3" fontId="16" fillId="33" borderId="10" xfId="71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1" applyFont="1" applyFill="1" applyBorder="1" applyAlignment="1">
      <alignment vertical="center"/>
      <protection/>
    </xf>
    <xf numFmtId="0" fontId="16" fillId="34" borderId="12" xfId="71" applyFont="1" applyFill="1" applyBorder="1" applyAlignment="1">
      <alignment vertical="center"/>
      <protection/>
    </xf>
    <xf numFmtId="3" fontId="16" fillId="34" borderId="10" xfId="71" applyNumberFormat="1" applyFont="1" applyFill="1" applyBorder="1" applyAlignment="1">
      <alignment vertical="center"/>
      <protection/>
    </xf>
    <xf numFmtId="3" fontId="16" fillId="34" borderId="10" xfId="71" applyNumberFormat="1" applyFont="1" applyFill="1" applyBorder="1" applyAlignment="1">
      <alignment horizontal="right" vertical="center"/>
      <protection/>
    </xf>
    <xf numFmtId="0" fontId="16" fillId="0" borderId="10" xfId="71" applyFont="1" applyFill="1" applyBorder="1" applyAlignment="1">
      <alignment vertical="center" wrapText="1"/>
      <protection/>
    </xf>
    <xf numFmtId="3" fontId="16" fillId="0" borderId="10" xfId="71" applyNumberFormat="1" applyFont="1" applyFill="1" applyBorder="1" applyAlignment="1">
      <alignment horizontal="right" wrapText="1"/>
      <protection/>
    </xf>
    <xf numFmtId="0" fontId="5" fillId="0" borderId="10" xfId="71" applyFont="1" applyFill="1" applyBorder="1" applyAlignment="1">
      <alignment vertical="center" wrapText="1"/>
      <protection/>
    </xf>
    <xf numFmtId="3" fontId="5" fillId="0" borderId="10" xfId="71" applyNumberFormat="1" applyFont="1" applyFill="1" applyBorder="1" applyAlignment="1">
      <alignment horizontal="right"/>
      <protection/>
    </xf>
    <xf numFmtId="0" fontId="16" fillId="0" borderId="10" xfId="71" applyFont="1" applyFill="1" applyBorder="1" applyAlignment="1">
      <alignment horizontal="left" vertical="center" wrapText="1" indent="1"/>
      <protection/>
    </xf>
    <xf numFmtId="3" fontId="16" fillId="0" borderId="10" xfId="71" applyNumberFormat="1" applyFont="1" applyFill="1" applyBorder="1" applyAlignment="1">
      <alignment vertical="center" wrapText="1"/>
      <protection/>
    </xf>
    <xf numFmtId="9" fontId="16" fillId="0" borderId="10" xfId="71" applyNumberFormat="1" applyFont="1" applyFill="1" applyBorder="1" applyAlignment="1">
      <alignment horizontal="right" wrapText="1"/>
      <protection/>
    </xf>
    <xf numFmtId="3" fontId="5" fillId="35" borderId="10" xfId="71" applyNumberFormat="1" applyFont="1" applyFill="1" applyBorder="1" applyAlignment="1">
      <alignment horizontal="right"/>
      <protection/>
    </xf>
    <xf numFmtId="3" fontId="5" fillId="0" borderId="10" xfId="71" applyNumberFormat="1" applyFont="1" applyFill="1" applyBorder="1" applyAlignment="1">
      <alignment horizontal="right" wrapText="1"/>
      <protection/>
    </xf>
    <xf numFmtId="0" fontId="16" fillId="33" borderId="10" xfId="71" applyFont="1" applyFill="1" applyBorder="1" applyAlignment="1">
      <alignment vertical="center" wrapText="1"/>
      <protection/>
    </xf>
    <xf numFmtId="3" fontId="16" fillId="34" borderId="10" xfId="71" applyNumberFormat="1" applyFont="1" applyFill="1" applyBorder="1" applyAlignment="1">
      <alignment horizontal="right" wrapText="1"/>
      <protection/>
    </xf>
    <xf numFmtId="3" fontId="16" fillId="0" borderId="10" xfId="71" applyNumberFormat="1" applyFont="1" applyFill="1" applyBorder="1" applyAlignment="1">
      <alignment horizontal="right"/>
      <protection/>
    </xf>
    <xf numFmtId="0" fontId="5" fillId="0" borderId="10" xfId="71" applyFont="1" applyFill="1" applyBorder="1" applyAlignment="1">
      <alignment wrapText="1"/>
      <protection/>
    </xf>
    <xf numFmtId="0" fontId="16" fillId="33" borderId="10" xfId="71" applyFont="1" applyFill="1" applyBorder="1" applyAlignment="1">
      <alignment wrapText="1"/>
      <protection/>
    </xf>
    <xf numFmtId="1" fontId="19" fillId="0" borderId="11" xfId="71" applyNumberFormat="1" applyFont="1" applyFill="1" applyBorder="1" applyAlignment="1">
      <alignment wrapText="1"/>
      <protection/>
    </xf>
    <xf numFmtId="3" fontId="20" fillId="0" borderId="10" xfId="71" applyNumberFormat="1" applyFont="1" applyFill="1" applyBorder="1" applyAlignment="1">
      <alignment horizontal="right" wrapText="1"/>
      <protection/>
    </xf>
    <xf numFmtId="3" fontId="19" fillId="0" borderId="10" xfId="71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1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5" applyNumberFormat="1" applyFont="1" applyFill="1" applyBorder="1" applyAlignment="1">
      <alignment vertical="center" wrapText="1"/>
      <protection/>
    </xf>
    <xf numFmtId="172" fontId="5" fillId="0" borderId="10" xfId="65" applyNumberFormat="1" applyFont="1" applyFill="1" applyBorder="1" applyAlignment="1">
      <alignment horizontal="right" vertical="center" wrapText="1"/>
      <protection/>
    </xf>
    <xf numFmtId="0" fontId="5" fillId="0" borderId="0" xfId="69" applyFont="1" applyFill="1">
      <alignment/>
      <protection/>
    </xf>
    <xf numFmtId="0" fontId="16" fillId="0" borderId="10" xfId="71" applyFont="1" applyFill="1" applyBorder="1" applyAlignment="1">
      <alignment vertical="center"/>
      <protection/>
    </xf>
    <xf numFmtId="3" fontId="16" fillId="35" borderId="10" xfId="71" applyNumberFormat="1" applyFont="1" applyFill="1" applyBorder="1" applyAlignment="1">
      <alignment horizontal="right" wrapText="1"/>
      <protection/>
    </xf>
    <xf numFmtId="172" fontId="16" fillId="0" borderId="10" xfId="71" applyNumberFormat="1" applyFont="1" applyFill="1" applyBorder="1" applyAlignment="1">
      <alignment horizontal="right" vertical="center"/>
      <protection/>
    </xf>
    <xf numFmtId="172" fontId="16" fillId="0" borderId="10" xfId="71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6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7" applyFont="1">
      <alignment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3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0" fontId="16" fillId="0" borderId="0" xfId="7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 wrapText="1" shrinkToFit="1"/>
      <protection/>
    </xf>
    <xf numFmtId="172" fontId="16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34" borderId="14" xfId="71" applyFont="1" applyFill="1" applyBorder="1" applyAlignment="1">
      <alignment horizontal="center" vertical="center" wrapText="1" shrinkToFit="1"/>
      <protection/>
    </xf>
    <xf numFmtId="3" fontId="5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top"/>
      <protection/>
    </xf>
    <xf numFmtId="0" fontId="5" fillId="0" borderId="11" xfId="71" applyFont="1" applyFill="1" applyBorder="1" applyAlignment="1">
      <alignment horizontal="left" vertical="top" wrapText="1" shrinkToFit="1"/>
      <protection/>
    </xf>
    <xf numFmtId="172" fontId="16" fillId="0" borderId="10" xfId="71" applyNumberFormat="1" applyFont="1" applyFill="1" applyBorder="1" applyAlignment="1">
      <alignment horizontal="center" vertical="top"/>
      <protection/>
    </xf>
    <xf numFmtId="172" fontId="16" fillId="0" borderId="14" xfId="71" applyNumberFormat="1" applyFont="1" applyFill="1" applyBorder="1" applyAlignment="1">
      <alignment horizontal="center" vertical="top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21" fillId="0" borderId="0" xfId="71" applyFont="1" applyFill="1" applyBorder="1" applyAlignment="1">
      <alignment wrapText="1" shrinkToFit="1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2" xfId="71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1" applyFont="1" applyFill="1" applyBorder="1" applyAlignment="1">
      <alignment horizontal="right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5" fillId="0" borderId="10" xfId="68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2" applyFont="1" applyFill="1" applyBorder="1" applyAlignment="1">
      <alignment horizontal="left" wrapText="1" shrinkToFit="1"/>
      <protection/>
    </xf>
    <xf numFmtId="0" fontId="5" fillId="0" borderId="0" xfId="72" applyFont="1" applyFill="1" applyBorder="1" applyAlignment="1">
      <alignment wrapText="1" shrinkToFit="1"/>
      <protection/>
    </xf>
    <xf numFmtId="3" fontId="5" fillId="0" borderId="0" xfId="72" applyNumberFormat="1" applyFont="1" applyFill="1" applyBorder="1" applyAlignment="1">
      <alignment wrapText="1" shrinkToFit="1"/>
      <protection/>
    </xf>
    <xf numFmtId="0" fontId="16" fillId="34" borderId="10" xfId="72" applyFont="1" applyFill="1" applyBorder="1" applyAlignment="1">
      <alignment horizontal="center" vertical="center"/>
      <protection/>
    </xf>
    <xf numFmtId="0" fontId="16" fillId="34" borderId="13" xfId="72" applyFont="1" applyFill="1" applyBorder="1" applyAlignment="1">
      <alignment horizontal="center" vertical="center"/>
      <protection/>
    </xf>
    <xf numFmtId="172" fontId="16" fillId="34" borderId="10" xfId="72" applyNumberFormat="1" applyFont="1" applyFill="1" applyBorder="1" applyAlignment="1">
      <alignment horizontal="center" vertical="center"/>
      <protection/>
    </xf>
    <xf numFmtId="0" fontId="16" fillId="34" borderId="14" xfId="72" applyFont="1" applyFill="1" applyBorder="1" applyAlignment="1">
      <alignment horizontal="center" vertical="center"/>
      <protection/>
    </xf>
    <xf numFmtId="3" fontId="5" fillId="34" borderId="10" xfId="72" applyNumberFormat="1" applyFont="1" applyFill="1" applyBorder="1" applyAlignment="1">
      <alignment horizontal="center" vertical="center"/>
      <protection/>
    </xf>
    <xf numFmtId="0" fontId="16" fillId="0" borderId="11" xfId="72" applyFont="1" applyFill="1" applyBorder="1" applyAlignment="1">
      <alignment horizontal="left" vertical="top" wrapText="1" shrinkToFit="1"/>
      <protection/>
    </xf>
    <xf numFmtId="3" fontId="16" fillId="0" borderId="10" xfId="72" applyNumberFormat="1" applyFont="1" applyFill="1" applyBorder="1" applyAlignment="1">
      <alignment horizontal="center" vertical="center"/>
      <protection/>
    </xf>
    <xf numFmtId="3" fontId="16" fillId="0" borderId="14" xfId="72" applyNumberFormat="1" applyFont="1" applyFill="1" applyBorder="1" applyAlignment="1">
      <alignment horizontal="center" vertical="center"/>
      <protection/>
    </xf>
    <xf numFmtId="172" fontId="16" fillId="0" borderId="0" xfId="72" applyNumberFormat="1" applyFont="1" applyFill="1" applyBorder="1" applyAlignment="1" applyProtection="1">
      <alignment wrapText="1" shrinkToFit="1"/>
      <protection locked="0"/>
    </xf>
    <xf numFmtId="0" fontId="16" fillId="0" borderId="0" xfId="72" applyFont="1" applyFill="1" applyBorder="1" applyAlignment="1">
      <alignment wrapText="1" shrinkToFit="1"/>
      <protection/>
    </xf>
    <xf numFmtId="0" fontId="5" fillId="0" borderId="11" xfId="72" applyFont="1" applyFill="1" applyBorder="1" applyAlignment="1">
      <alignment horizontal="left" vertical="top" wrapText="1" indent="1" shrinkToFit="1"/>
      <protection/>
    </xf>
    <xf numFmtId="3" fontId="5" fillId="0" borderId="14" xfId="72" applyNumberFormat="1" applyFont="1" applyFill="1" applyBorder="1" applyAlignment="1">
      <alignment horizontal="center" vertical="center"/>
      <protection/>
    </xf>
    <xf numFmtId="3" fontId="5" fillId="0" borderId="10" xfId="72" applyNumberFormat="1" applyFont="1" applyFill="1" applyBorder="1" applyAlignment="1">
      <alignment horizontal="center" vertical="center"/>
      <protection/>
    </xf>
    <xf numFmtId="0" fontId="5" fillId="0" borderId="0" xfId="72" applyFont="1" applyFill="1" applyBorder="1" applyAlignment="1">
      <alignment horizontal="left" vertical="top" wrapText="1" shrinkToFit="1"/>
      <protection/>
    </xf>
    <xf numFmtId="0" fontId="5" fillId="0" borderId="0" xfId="72" applyFont="1" applyFill="1" applyBorder="1" applyAlignment="1">
      <alignment horizontal="left" vertical="top"/>
      <protection/>
    </xf>
    <xf numFmtId="0" fontId="17" fillId="0" borderId="15" xfId="72" applyFont="1" applyFill="1" applyBorder="1" applyAlignment="1">
      <alignment wrapText="1" shrinkToFit="1"/>
      <protection/>
    </xf>
    <xf numFmtId="0" fontId="5" fillId="0" borderId="15" xfId="72" applyFont="1" applyFill="1" applyBorder="1" applyAlignment="1">
      <alignment wrapText="1" shrinkToFit="1"/>
      <protection/>
    </xf>
    <xf numFmtId="4" fontId="5" fillId="0" borderId="15" xfId="72" applyNumberFormat="1" applyFont="1" applyFill="1" applyBorder="1" applyAlignment="1">
      <alignment wrapText="1" shrinkToFit="1"/>
      <protection/>
    </xf>
    <xf numFmtId="3" fontId="5" fillId="0" borderId="15" xfId="72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7" applyNumberFormat="1" applyFont="1" applyFill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7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7" applyFont="1" applyFill="1" applyBorder="1" applyAlignment="1">
      <alignment/>
    </xf>
    <xf numFmtId="194" fontId="5" fillId="0" borderId="10" xfId="83" applyNumberFormat="1" applyFont="1" applyBorder="1" applyAlignment="1">
      <alignment/>
    </xf>
    <xf numFmtId="9" fontId="5" fillId="33" borderId="10" xfId="77" applyFont="1" applyFill="1" applyBorder="1" applyAlignment="1">
      <alignment/>
    </xf>
    <xf numFmtId="0" fontId="5" fillId="0" borderId="0" xfId="66" applyFont="1" applyFill="1" applyProtection="1">
      <alignment/>
      <protection locked="0"/>
    </xf>
    <xf numFmtId="0" fontId="16" fillId="0" borderId="0" xfId="66" applyFont="1" applyFill="1" applyProtection="1">
      <alignment/>
      <protection locked="0"/>
    </xf>
    <xf numFmtId="9" fontId="17" fillId="0" borderId="0" xfId="66" applyNumberFormat="1" applyFont="1" applyFill="1" applyProtection="1">
      <alignment/>
      <protection locked="0"/>
    </xf>
    <xf numFmtId="172" fontId="5" fillId="0" borderId="0" xfId="66" applyNumberFormat="1" applyFont="1" applyFill="1" applyProtection="1">
      <alignment/>
      <protection locked="0"/>
    </xf>
    <xf numFmtId="172" fontId="17" fillId="0" borderId="0" xfId="66" applyNumberFormat="1" applyFont="1" applyFill="1" applyProtection="1">
      <alignment/>
      <protection locked="0"/>
    </xf>
    <xf numFmtId="9" fontId="16" fillId="0" borderId="0" xfId="66" applyNumberFormat="1" applyFont="1" applyFill="1" applyProtection="1">
      <alignment/>
      <protection locked="0"/>
    </xf>
    <xf numFmtId="0" fontId="21" fillId="0" borderId="0" xfId="66" applyFont="1" applyFill="1" applyProtection="1">
      <alignment/>
      <protection locked="0"/>
    </xf>
    <xf numFmtId="0" fontId="16" fillId="0" borderId="10" xfId="66" applyFont="1" applyFill="1" applyBorder="1" applyProtection="1">
      <alignment/>
      <protection locked="0"/>
    </xf>
    <xf numFmtId="3" fontId="5" fillId="0" borderId="10" xfId="66" applyNumberFormat="1" applyFont="1" applyFill="1" applyBorder="1" applyAlignment="1" applyProtection="1">
      <alignment horizontal="center"/>
      <protection locked="0"/>
    </xf>
    <xf numFmtId="0" fontId="5" fillId="0" borderId="10" xfId="66" applyFont="1" applyFill="1" applyBorder="1" applyAlignment="1" applyProtection="1">
      <alignment vertical="top"/>
      <protection locked="0"/>
    </xf>
    <xf numFmtId="173" fontId="17" fillId="0" borderId="0" xfId="66" applyNumberFormat="1" applyFont="1" applyFill="1" applyProtection="1">
      <alignment/>
      <protection locked="0"/>
    </xf>
    <xf numFmtId="0" fontId="5" fillId="0" borderId="10" xfId="70" applyFont="1" applyFill="1" applyBorder="1" applyAlignment="1">
      <alignment horizontal="left" vertical="center" wrapText="1"/>
      <protection/>
    </xf>
    <xf numFmtId="0" fontId="16" fillId="0" borderId="10" xfId="70" applyFont="1" applyFill="1" applyBorder="1" applyAlignment="1">
      <alignment horizontal="center" vertical="center"/>
      <protection/>
    </xf>
    <xf numFmtId="0" fontId="5" fillId="0" borderId="10" xfId="72" applyFont="1" applyFill="1" applyBorder="1" applyAlignment="1">
      <alignment horizontal="center" vertical="center"/>
      <protection/>
    </xf>
    <xf numFmtId="0" fontId="16" fillId="0" borderId="10" xfId="72" applyFont="1" applyFill="1" applyBorder="1" applyAlignment="1">
      <alignment horizontal="center" vertical="center"/>
      <protection/>
    </xf>
    <xf numFmtId="0" fontId="5" fillId="0" borderId="0" xfId="66" applyFont="1" applyFill="1" applyAlignment="1" applyProtection="1">
      <alignment horizontal="center"/>
      <protection locked="0"/>
    </xf>
    <xf numFmtId="172" fontId="5" fillId="0" borderId="10" xfId="70" applyNumberFormat="1" applyFont="1" applyFill="1" applyBorder="1" applyAlignment="1">
      <alignment horizontal="right" vertical="center"/>
      <protection/>
    </xf>
    <xf numFmtId="172" fontId="5" fillId="0" borderId="10" xfId="66" applyNumberFormat="1" applyFont="1" applyFill="1" applyBorder="1" applyAlignment="1" applyProtection="1">
      <alignment/>
      <protection locked="0"/>
    </xf>
    <xf numFmtId="172" fontId="16" fillId="0" borderId="10" xfId="66" applyNumberFormat="1" applyFont="1" applyFill="1" applyBorder="1" applyAlignment="1" applyProtection="1">
      <alignment/>
      <protection locked="0"/>
    </xf>
    <xf numFmtId="0" fontId="5" fillId="0" borderId="0" xfId="66" applyFont="1" applyFill="1" applyAlignment="1" applyProtection="1">
      <alignment/>
      <protection locked="0"/>
    </xf>
    <xf numFmtId="0" fontId="5" fillId="0" borderId="0" xfId="66" applyFont="1" applyFill="1" applyAlignment="1" applyProtection="1">
      <alignment vertical="center"/>
      <protection locked="0"/>
    </xf>
    <xf numFmtId="0" fontId="5" fillId="36" borderId="10" xfId="70" applyFont="1" applyFill="1" applyBorder="1" applyAlignment="1">
      <alignment horizontal="left" vertical="center" wrapText="1" indent="2"/>
      <protection/>
    </xf>
    <xf numFmtId="172" fontId="5" fillId="39" borderId="10" xfId="66" applyNumberFormat="1" applyFont="1" applyFill="1" applyBorder="1" applyAlignment="1" applyProtection="1">
      <alignment/>
      <protection locked="0"/>
    </xf>
    <xf numFmtId="172" fontId="5" fillId="0" borderId="0" xfId="66" applyNumberFormat="1" applyFont="1" applyFill="1" applyAlignment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1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9" fontId="22" fillId="0" borderId="10" xfId="0" applyNumberFormat="1" applyFont="1" applyBorder="1" applyAlignment="1">
      <alignment horizontal="right" vertical="top" wrapText="1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67" applyFont="1" applyBorder="1" applyAlignment="1">
      <alignment vertical="center"/>
      <protection/>
    </xf>
    <xf numFmtId="3" fontId="5" fillId="0" borderId="10" xfId="67" applyNumberFormat="1" applyFont="1" applyFill="1" applyBorder="1" applyAlignment="1">
      <alignment horizontal="right" vertical="center"/>
      <protection/>
    </xf>
    <xf numFmtId="0" fontId="16" fillId="0" borderId="10" xfId="67" applyFont="1" applyBorder="1" applyAlignment="1">
      <alignment vertical="center"/>
      <protection/>
    </xf>
    <xf numFmtId="3" fontId="16" fillId="0" borderId="10" xfId="67" applyNumberFormat="1" applyFont="1" applyFill="1" applyBorder="1" applyAlignment="1">
      <alignment horizontal="right" vertical="center"/>
      <protection/>
    </xf>
    <xf numFmtId="0" fontId="16" fillId="2" borderId="11" xfId="68" applyFont="1" applyFill="1" applyBorder="1" applyAlignment="1">
      <alignment vertical="center"/>
      <protection/>
    </xf>
    <xf numFmtId="3" fontId="16" fillId="2" borderId="10" xfId="68" applyNumberFormat="1" applyFont="1" applyFill="1" applyBorder="1" applyAlignment="1">
      <alignment horizontal="center" vertical="center"/>
      <protection/>
    </xf>
    <xf numFmtId="9" fontId="5" fillId="0" borderId="10" xfId="67" applyNumberFormat="1" applyFont="1" applyFill="1" applyBorder="1" applyAlignment="1">
      <alignment horizontal="right" vertical="center"/>
      <protection/>
    </xf>
    <xf numFmtId="9" fontId="16" fillId="0" borderId="10" xfId="67" applyNumberFormat="1" applyFont="1" applyFill="1" applyBorder="1" applyAlignment="1">
      <alignment horizontal="right" vertical="center"/>
      <protection/>
    </xf>
    <xf numFmtId="177" fontId="5" fillId="0" borderId="10" xfId="67" applyNumberFormat="1" applyFont="1" applyFill="1" applyBorder="1" applyAlignment="1">
      <alignment horizontal="right" vertical="center"/>
      <protection/>
    </xf>
    <xf numFmtId="0" fontId="16" fillId="0" borderId="0" xfId="67" applyFont="1" applyAlignment="1">
      <alignment vertical="center"/>
      <protection/>
    </xf>
    <xf numFmtId="0" fontId="5" fillId="0" borderId="10" xfId="67" applyFont="1" applyBorder="1" applyAlignment="1">
      <alignment vertical="center" wrapText="1"/>
      <protection/>
    </xf>
    <xf numFmtId="9" fontId="5" fillId="2" borderId="10" xfId="67" applyNumberFormat="1" applyFont="1" applyFill="1" applyBorder="1" applyAlignment="1">
      <alignment horizontal="right" vertical="center"/>
      <protection/>
    </xf>
    <xf numFmtId="3" fontId="5" fillId="0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0" fontId="46" fillId="0" borderId="0" xfId="72" applyFont="1" applyFill="1" applyBorder="1" applyAlignment="1">
      <alignment/>
      <protection/>
    </xf>
    <xf numFmtId="3" fontId="5" fillId="35" borderId="10" xfId="0" applyNumberFormat="1" applyFont="1" applyFill="1" applyBorder="1" applyAlignment="1">
      <alignment horizontal="center"/>
    </xf>
    <xf numFmtId="0" fontId="16" fillId="0" borderId="0" xfId="72" applyFont="1" applyFill="1" applyBorder="1" applyAlignment="1">
      <alignment horizontal="left"/>
      <protection/>
    </xf>
    <xf numFmtId="0" fontId="5" fillId="0" borderId="0" xfId="72" applyFont="1" applyFill="1" applyBorder="1" applyAlignment="1">
      <alignment/>
      <protection/>
    </xf>
    <xf numFmtId="0" fontId="16" fillId="0" borderId="0" xfId="72" applyFont="1" applyFill="1" applyBorder="1" applyAlignment="1">
      <alignment/>
      <protection/>
    </xf>
    <xf numFmtId="0" fontId="5" fillId="0" borderId="11" xfId="72" applyFont="1" applyFill="1" applyBorder="1" applyAlignment="1">
      <alignment horizontal="left" vertical="top"/>
      <protection/>
    </xf>
    <xf numFmtId="0" fontId="16" fillId="0" borderId="0" xfId="0" applyFont="1" applyAlignment="1">
      <alignment/>
    </xf>
    <xf numFmtId="0" fontId="5" fillId="0" borderId="0" xfId="72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9" fontId="5" fillId="0" borderId="14" xfId="72" applyNumberFormat="1" applyFont="1" applyFill="1" applyBorder="1" applyAlignment="1">
      <alignment horizontal="center" vertical="center"/>
      <protection/>
    </xf>
    <xf numFmtId="9" fontId="5" fillId="35" borderId="14" xfId="72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Alignment="1">
      <alignment/>
    </xf>
    <xf numFmtId="177" fontId="5" fillId="0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wrapText="1"/>
    </xf>
    <xf numFmtId="177" fontId="1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left" wrapText="1"/>
    </xf>
    <xf numFmtId="3" fontId="16" fillId="2" borderId="10" xfId="68" applyNumberFormat="1" applyFont="1" applyFill="1" applyBorder="1" applyAlignment="1">
      <alignment horizontal="center" vertical="center"/>
      <protection/>
    </xf>
    <xf numFmtId="9" fontId="5" fillId="35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/>
    </xf>
    <xf numFmtId="185" fontId="16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16" fillId="0" borderId="11" xfId="72" applyFont="1" applyFill="1" applyBorder="1" applyAlignment="1">
      <alignment horizontal="left" vertical="top"/>
      <protection/>
    </xf>
    <xf numFmtId="0" fontId="16" fillId="0" borderId="10" xfId="72" applyFont="1" applyFill="1" applyBorder="1" applyAlignment="1">
      <alignment horizontal="left" vertical="top"/>
      <protection/>
    </xf>
    <xf numFmtId="3" fontId="5" fillId="0" borderId="10" xfId="72" applyNumberFormat="1" applyFont="1" applyFill="1" applyBorder="1" applyAlignment="1">
      <alignment/>
      <protection/>
    </xf>
    <xf numFmtId="3" fontId="5" fillId="35" borderId="10" xfId="0" applyNumberFormat="1" applyFont="1" applyFill="1" applyBorder="1" applyAlignment="1">
      <alignment vertical="center"/>
    </xf>
    <xf numFmtId="3" fontId="5" fillId="0" borderId="15" xfId="72" applyNumberFormat="1" applyFont="1" applyFill="1" applyBorder="1" applyAlignment="1">
      <alignment/>
      <protection/>
    </xf>
    <xf numFmtId="0" fontId="25" fillId="0" borderId="0" xfId="72" applyFont="1" applyFill="1" applyBorder="1" applyAlignment="1">
      <alignment horizontal="right"/>
      <protection/>
    </xf>
    <xf numFmtId="173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7" fillId="0" borderId="11" xfId="0" applyFont="1" applyBorder="1" applyAlignment="1">
      <alignment/>
    </xf>
    <xf numFmtId="0" fontId="17" fillId="0" borderId="16" xfId="0" applyFont="1" applyBorder="1" applyAlignment="1">
      <alignment/>
    </xf>
    <xf numFmtId="3" fontId="17" fillId="3" borderId="10" xfId="0" applyNumberFormat="1" applyFont="1" applyFill="1" applyBorder="1" applyAlignment="1">
      <alignment/>
    </xf>
    <xf numFmtId="0" fontId="14" fillId="0" borderId="0" xfId="66" applyFont="1" applyFill="1" applyProtection="1">
      <alignment/>
      <protection locked="0"/>
    </xf>
    <xf numFmtId="172" fontId="67" fillId="0" borderId="0" xfId="66" applyNumberFormat="1" applyFont="1" applyFill="1" applyAlignment="1" applyProtection="1">
      <alignment horizontal="center"/>
      <protection locked="0"/>
    </xf>
    <xf numFmtId="0" fontId="16" fillId="2" borderId="10" xfId="67" applyFont="1" applyFill="1" applyBorder="1" applyAlignment="1">
      <alignment vertical="center"/>
      <protection/>
    </xf>
    <xf numFmtId="3" fontId="16" fillId="2" borderId="10" xfId="67" applyNumberFormat="1" applyFont="1" applyFill="1" applyBorder="1" applyAlignment="1">
      <alignment horizontal="right" vertical="center"/>
      <protection/>
    </xf>
    <xf numFmtId="172" fontId="68" fillId="0" borderId="0" xfId="71" applyNumberFormat="1" applyFont="1" applyFill="1" applyBorder="1" applyAlignment="1">
      <alignment horizontal="center" wrapText="1" shrinkToFit="1"/>
      <protection/>
    </xf>
    <xf numFmtId="0" fontId="25" fillId="0" borderId="0" xfId="0" applyFont="1" applyAlignment="1">
      <alignment horizontal="right"/>
    </xf>
    <xf numFmtId="1" fontId="16" fillId="0" borderId="10" xfId="0" applyNumberFormat="1" applyFont="1" applyBorder="1" applyAlignment="1">
      <alignment/>
    </xf>
    <xf numFmtId="173" fontId="5" fillId="0" borderId="10" xfId="67" applyNumberFormat="1" applyFont="1" applyFill="1" applyBorder="1" applyAlignment="1">
      <alignment horizontal="right" vertical="center"/>
      <protection/>
    </xf>
    <xf numFmtId="0" fontId="5" fillId="0" borderId="17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9" fontId="5" fillId="0" borderId="10" xfId="0" applyNumberFormat="1" applyFont="1" applyFill="1" applyBorder="1" applyAlignment="1">
      <alignment horizontal="center"/>
    </xf>
    <xf numFmtId="3" fontId="5" fillId="35" borderId="14" xfId="72" applyNumberFormat="1" applyFont="1" applyFill="1" applyBorder="1" applyAlignment="1">
      <alignment horizontal="center" vertical="center"/>
      <protection/>
    </xf>
    <xf numFmtId="172" fontId="5" fillId="0" borderId="0" xfId="66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>
      <alignment vertical="center"/>
    </xf>
    <xf numFmtId="3" fontId="5" fillId="0" borderId="0" xfId="66" applyNumberFormat="1" applyFont="1" applyFill="1" applyProtection="1">
      <alignment/>
      <protection locked="0"/>
    </xf>
    <xf numFmtId="0" fontId="5" fillId="0" borderId="0" xfId="66" applyFont="1" applyFill="1" applyBorder="1" applyProtection="1">
      <alignment/>
      <protection locked="0"/>
    </xf>
    <xf numFmtId="173" fontId="17" fillId="0" borderId="10" xfId="66" applyNumberFormat="1" applyFont="1" applyFill="1" applyBorder="1" applyProtection="1">
      <alignment/>
      <protection locked="0"/>
    </xf>
    <xf numFmtId="0" fontId="17" fillId="0" borderId="10" xfId="66" applyFont="1" applyFill="1" applyBorder="1" applyProtection="1">
      <alignment/>
      <protection locked="0"/>
    </xf>
    <xf numFmtId="172" fontId="17" fillId="0" borderId="10" xfId="66" applyNumberFormat="1" applyFont="1" applyFill="1" applyBorder="1" applyAlignment="1" applyProtection="1">
      <alignment/>
      <protection locked="0"/>
    </xf>
    <xf numFmtId="3" fontId="16" fillId="2" borderId="10" xfId="68" applyNumberFormat="1" applyFont="1" applyFill="1" applyBorder="1" applyAlignment="1">
      <alignment horizontal="center" vertical="center"/>
      <protection/>
    </xf>
    <xf numFmtId="0" fontId="1" fillId="0" borderId="0" xfId="53" applyAlignment="1" applyProtection="1">
      <alignment/>
      <protection/>
    </xf>
    <xf numFmtId="0" fontId="5" fillId="0" borderId="11" xfId="71" applyFont="1" applyFill="1" applyBorder="1" applyAlignment="1">
      <alignment horizontal="left" vertical="top" wrapText="1" indent="2" shrinkToFit="1"/>
      <protection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16" fillId="0" borderId="0" xfId="66" applyFont="1" applyFill="1" applyBorder="1" applyProtection="1">
      <alignment/>
      <protection locked="0"/>
    </xf>
    <xf numFmtId="3" fontId="5" fillId="0" borderId="0" xfId="66" applyNumberFormat="1" applyFont="1" applyFill="1" applyBorder="1" applyAlignment="1" applyProtection="1">
      <alignment horizontal="center"/>
      <protection locked="0"/>
    </xf>
    <xf numFmtId="0" fontId="16" fillId="0" borderId="0" xfId="67" applyFont="1" applyBorder="1" applyAlignment="1">
      <alignment horizontal="left" vertical="center"/>
      <protection/>
    </xf>
    <xf numFmtId="3" fontId="5" fillId="0" borderId="0" xfId="67" applyNumberFormat="1" applyFont="1" applyFill="1">
      <alignment/>
      <protection/>
    </xf>
    <xf numFmtId="0" fontId="5" fillId="0" borderId="0" xfId="67" applyFont="1" applyFill="1">
      <alignment/>
      <protection/>
    </xf>
    <xf numFmtId="9" fontId="5" fillId="35" borderId="10" xfId="0" applyNumberFormat="1" applyFont="1" applyFill="1" applyBorder="1" applyAlignment="1">
      <alignment/>
    </xf>
    <xf numFmtId="187" fontId="25" fillId="0" borderId="0" xfId="0" applyNumberFormat="1" applyFont="1" applyAlignment="1">
      <alignment/>
    </xf>
    <xf numFmtId="3" fontId="5" fillId="0" borderId="0" xfId="72" applyNumberFormat="1" applyFont="1" applyFill="1" applyBorder="1" applyAlignme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14" xfId="72" applyNumberFormat="1" applyFont="1" applyFill="1" applyBorder="1" applyAlignment="1">
      <alignment horizontal="center" vertical="center" wrapText="1"/>
      <protection/>
    </xf>
    <xf numFmtId="0" fontId="5" fillId="0" borderId="0" xfId="72" applyFont="1" applyFill="1" applyBorder="1" applyAlignment="1">
      <alignment horizontal="center" vertical="center" wrapText="1"/>
      <protection/>
    </xf>
    <xf numFmtId="3" fontId="16" fillId="0" borderId="10" xfId="72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173" fontId="17" fillId="35" borderId="10" xfId="0" applyNumberFormat="1" applyFont="1" applyFill="1" applyBorder="1" applyAlignment="1">
      <alignment horizontal="center"/>
    </xf>
    <xf numFmtId="0" fontId="16" fillId="0" borderId="13" xfId="71" applyFont="1" applyFill="1" applyBorder="1" applyAlignment="1">
      <alignment horizontal="center" vertical="center" wrapText="1"/>
      <protection/>
    </xf>
    <xf numFmtId="0" fontId="16" fillId="0" borderId="14" xfId="71" applyFont="1" applyFill="1" applyBorder="1" applyAlignment="1">
      <alignment horizontal="center" vertical="center" wrapText="1"/>
      <protection/>
    </xf>
    <xf numFmtId="0" fontId="16" fillId="0" borderId="10" xfId="71" applyFont="1" applyFill="1" applyBorder="1" applyAlignment="1">
      <alignment horizontal="center" vertical="center" wrapText="1"/>
      <protection/>
    </xf>
    <xf numFmtId="0" fontId="16" fillId="0" borderId="11" xfId="71" applyFont="1" applyFill="1" applyBorder="1" applyAlignment="1">
      <alignment horizontal="center" vertical="center" wrapText="1"/>
      <protection/>
    </xf>
    <xf numFmtId="0" fontId="16" fillId="0" borderId="16" xfId="71" applyFont="1" applyFill="1" applyBorder="1" applyAlignment="1">
      <alignment horizontal="center" vertical="center" wrapText="1"/>
      <protection/>
    </xf>
    <xf numFmtId="0" fontId="16" fillId="0" borderId="12" xfId="71" applyFont="1" applyFill="1" applyBorder="1" applyAlignment="1">
      <alignment horizontal="center" vertical="center" wrapText="1"/>
      <protection/>
    </xf>
    <xf numFmtId="172" fontId="16" fillId="34" borderId="11" xfId="71" applyNumberFormat="1" applyFont="1" applyFill="1" applyBorder="1" applyAlignment="1">
      <alignment horizontal="center" vertical="center" wrapText="1" shrinkToFit="1"/>
      <protection/>
    </xf>
    <xf numFmtId="172" fontId="16" fillId="34" borderId="16" xfId="71" applyNumberFormat="1" applyFont="1" applyFill="1" applyBorder="1" applyAlignment="1">
      <alignment horizontal="center" vertical="center" wrapText="1" shrinkToFit="1"/>
      <protection/>
    </xf>
    <xf numFmtId="172" fontId="16" fillId="34" borderId="12" xfId="71" applyNumberFormat="1" applyFont="1" applyFill="1" applyBorder="1" applyAlignment="1">
      <alignment horizontal="center" vertical="center" wrapText="1" shrinkToFit="1"/>
      <protection/>
    </xf>
    <xf numFmtId="172" fontId="16" fillId="34" borderId="11" xfId="71" applyNumberFormat="1" applyFont="1" applyFill="1" applyBorder="1" applyAlignment="1">
      <alignment horizontal="center" vertical="center"/>
      <protection/>
    </xf>
    <xf numFmtId="172" fontId="16" fillId="34" borderId="16" xfId="71" applyNumberFormat="1" applyFont="1" applyFill="1" applyBorder="1" applyAlignment="1">
      <alignment horizontal="center" vertical="center"/>
      <protection/>
    </xf>
    <xf numFmtId="172" fontId="16" fillId="34" borderId="12" xfId="71" applyNumberFormat="1" applyFont="1" applyFill="1" applyBorder="1" applyAlignment="1">
      <alignment horizontal="center" vertical="center"/>
      <protection/>
    </xf>
    <xf numFmtId="0" fontId="16" fillId="34" borderId="16" xfId="71" applyFont="1" applyFill="1" applyBorder="1" applyAlignment="1">
      <alignment horizontal="center" vertical="center"/>
      <protection/>
    </xf>
    <xf numFmtId="0" fontId="16" fillId="34" borderId="12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 wrapText="1" shrinkToFit="1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9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 wrapText="1" shrinkToFit="1"/>
      <protection/>
    </xf>
    <xf numFmtId="0" fontId="16" fillId="34" borderId="14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 wrapText="1" shrinkToFit="1"/>
      <protection/>
    </xf>
    <xf numFmtId="0" fontId="16" fillId="34" borderId="13" xfId="7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0" fontId="16" fillId="34" borderId="18" xfId="72" applyFont="1" applyFill="1" applyBorder="1" applyAlignment="1">
      <alignment horizontal="center" vertical="center" wrapText="1" shrinkToFit="1"/>
      <protection/>
    </xf>
    <xf numFmtId="0" fontId="16" fillId="34" borderId="19" xfId="72" applyFont="1" applyFill="1" applyBorder="1" applyAlignment="1">
      <alignment horizontal="center" vertical="center" wrapText="1" shrinkToFit="1"/>
      <protection/>
    </xf>
    <xf numFmtId="0" fontId="16" fillId="34" borderId="10" xfId="72" applyFont="1" applyFill="1" applyBorder="1" applyAlignment="1">
      <alignment horizontal="center" vertical="center"/>
      <protection/>
    </xf>
    <xf numFmtId="172" fontId="16" fillId="34" borderId="10" xfId="72" applyNumberFormat="1" applyFont="1" applyFill="1" applyBorder="1" applyAlignment="1">
      <alignment horizontal="center" vertical="center"/>
      <protection/>
    </xf>
    <xf numFmtId="172" fontId="16" fillId="34" borderId="11" xfId="72" applyNumberFormat="1" applyFont="1" applyFill="1" applyBorder="1" applyAlignment="1">
      <alignment horizontal="center" vertical="center"/>
      <protection/>
    </xf>
    <xf numFmtId="172" fontId="16" fillId="34" borderId="16" xfId="72" applyNumberFormat="1" applyFont="1" applyFill="1" applyBorder="1" applyAlignment="1">
      <alignment horizontal="center" vertical="center"/>
      <protection/>
    </xf>
    <xf numFmtId="172" fontId="16" fillId="34" borderId="12" xfId="72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wrapText="1"/>
    </xf>
    <xf numFmtId="0" fontId="16" fillId="2" borderId="11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6" fillId="34" borderId="18" xfId="72" applyFont="1" applyFill="1" applyBorder="1" applyAlignment="1">
      <alignment horizontal="center" vertical="center"/>
      <protection/>
    </xf>
    <xf numFmtId="0" fontId="16" fillId="34" borderId="19" xfId="72" applyFont="1" applyFill="1" applyBorder="1" applyAlignment="1">
      <alignment horizontal="center" vertical="center"/>
      <protection/>
    </xf>
    <xf numFmtId="0" fontId="16" fillId="34" borderId="13" xfId="72" applyFont="1" applyFill="1" applyBorder="1" applyAlignment="1">
      <alignment horizontal="center" vertical="center" wrapText="1"/>
      <protection/>
    </xf>
    <xf numFmtId="0" fontId="16" fillId="34" borderId="14" xfId="72" applyFont="1" applyFill="1" applyBorder="1" applyAlignment="1">
      <alignment horizontal="center" vertical="center" wrapText="1"/>
      <protection/>
    </xf>
    <xf numFmtId="3" fontId="16" fillId="2" borderId="11" xfId="0" applyNumberFormat="1" applyFont="1" applyFill="1" applyBorder="1" applyAlignment="1">
      <alignment horizontal="center" wrapText="1"/>
    </xf>
    <xf numFmtId="3" fontId="16" fillId="2" borderId="12" xfId="0" applyNumberFormat="1" applyFont="1" applyFill="1" applyBorder="1" applyAlignment="1">
      <alignment horizont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6" fillId="0" borderId="10" xfId="72" applyFont="1" applyFill="1" applyBorder="1" applyAlignment="1">
      <alignment horizontal="center" vertical="center" wrapTex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16" fillId="2" borderId="13" xfId="68" applyFont="1" applyFill="1" applyBorder="1" applyAlignment="1">
      <alignment horizontal="left" vertical="center"/>
      <protection/>
    </xf>
    <xf numFmtId="0" fontId="16" fillId="2" borderId="14" xfId="68" applyFont="1" applyFill="1" applyBorder="1" applyAlignment="1">
      <alignment horizontal="left" vertical="center"/>
      <protection/>
    </xf>
    <xf numFmtId="3" fontId="16" fillId="2" borderId="10" xfId="68" applyNumberFormat="1" applyFont="1" applyFill="1" applyBorder="1" applyAlignment="1">
      <alignment horizontal="center" vertical="center"/>
      <protection/>
    </xf>
    <xf numFmtId="3" fontId="16" fillId="2" borderId="11" xfId="68" applyNumberFormat="1" applyFont="1" applyFill="1" applyBorder="1" applyAlignment="1">
      <alignment horizontal="center" vertical="center"/>
      <protection/>
    </xf>
    <xf numFmtId="3" fontId="16" fillId="2" borderId="16" xfId="68" applyNumberFormat="1" applyFont="1" applyFill="1" applyBorder="1" applyAlignment="1">
      <alignment horizontal="center" vertical="center"/>
      <protection/>
    </xf>
    <xf numFmtId="3" fontId="16" fillId="2" borderId="12" xfId="68" applyNumberFormat="1" applyFont="1" applyFill="1" applyBorder="1" applyAlignment="1">
      <alignment horizontal="center" vertical="center"/>
      <protection/>
    </xf>
  </cellXfs>
  <cellStyles count="77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Алтын-ОрдаНовыйБП" xfId="65"/>
    <cellStyle name="Обычный_Алтын-ОрдаНовыйБП 2" xfId="66"/>
    <cellStyle name="Обычный_БП кир завод 3.3  (40 млн. +20 забут реал на 18.07.06 для АФ увел курс)" xfId="67"/>
    <cellStyle name="Обычный_Копия cityrus4-18 лет СМР 52 млн $" xfId="68"/>
    <cellStyle name="Обычный_НовыйМир" xfId="69"/>
    <cellStyle name="Обычный_ПереченьКЗ" xfId="70"/>
    <cellStyle name="Обычный_Формы отчетов" xfId="71"/>
    <cellStyle name="Обычный_Формы отчетов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Процентный 2" xfId="78"/>
    <cellStyle name="Связанная ячейка" xfId="79"/>
    <cellStyle name="Стиль 1" xfId="80"/>
    <cellStyle name="Текст предупреждения" xfId="81"/>
    <cellStyle name="Тысячи [0]" xfId="82"/>
    <cellStyle name="Comma" xfId="83"/>
    <cellStyle name="Comma [0]" xfId="84"/>
    <cellStyle name="Хороший" xfId="85"/>
    <cellStyle name="桁区切り [0.00]_PERSONAL" xfId="86"/>
    <cellStyle name="桁区切り_PERSONAL" xfId="87"/>
    <cellStyle name="標準_PERSONAL" xfId="88"/>
    <cellStyle name="通貨 [0.00]_PERSONAL" xfId="89"/>
    <cellStyle name="通貨_PERSON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asia-business.ru/price/table/index.php?inside_admin=1&amp;div1=1&amp;div2=55&amp;p=14817&amp;ref=yes#14817" TargetMode="External" /><Relationship Id="rId2" Type="http://schemas.openxmlformats.org/officeDocument/2006/relationships/hyperlink" Target="http://www.asia-business.ru/price/table/index.php?div1=36&amp;div2=95&amp;p=14818&amp;ref=yes#14818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sia-business.ru/torg/equipment/stroy/stroy_1556.html" TargetMode="External" /><Relationship Id="rId2" Type="http://schemas.openxmlformats.org/officeDocument/2006/relationships/hyperlink" Target="http://www.kbfg.ru/product/proizvod_oboev/vspenenih_vinilovih.php" TargetMode="External" /><Relationship Id="rId3" Type="http://schemas.openxmlformats.org/officeDocument/2006/relationships/hyperlink" Target="http://www.zavodprogress.ru/articles/detail.html?id=50351" TargetMode="External" /><Relationship Id="rId4" Type="http://schemas.openxmlformats.org/officeDocument/2006/relationships/hyperlink" Target="http://satu.kz/p1005202-pvc-pvh.html" TargetMode="External" /><Relationship Id="rId5" Type="http://schemas.openxmlformats.org/officeDocument/2006/relationships/hyperlink" Target="http://t-light-krs.ru/index/bazy_dlja_izgotovlenija/0-42" TargetMode="External" /><Relationship Id="rId6" Type="http://schemas.openxmlformats.org/officeDocument/2006/relationships/hyperlink" Target="http://satu.kz/Vinilovye-oboi-tseny.html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141"/>
  <sheetViews>
    <sheetView showGridLines="0" showZeros="0" zoomScalePageLayoutView="0" workbookViewId="0" topLeftCell="A1">
      <pane xSplit="3" ySplit="6" topLeftCell="P19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R42" sqref="AR42"/>
    </sheetView>
  </sheetViews>
  <sheetFormatPr defaultColWidth="8.625" defaultRowHeight="12.75" outlineLevelRow="1" outlineLevelCol="1"/>
  <cols>
    <col min="1" max="1" width="38.625" style="60" customWidth="1"/>
    <col min="2" max="2" width="10.125" style="61" customWidth="1"/>
    <col min="3" max="3" width="1.875" style="61" customWidth="1"/>
    <col min="4" max="6" width="7.75390625" style="6" hidden="1" customWidth="1" outlineLevel="1"/>
    <col min="7" max="7" width="7.75390625" style="57" hidden="1" customWidth="1" outlineLevel="1"/>
    <col min="8" max="12" width="7.75390625" style="6" hidden="1" customWidth="1" outlineLevel="1"/>
    <col min="13" max="13" width="7.875" style="6" hidden="1" customWidth="1" outlineLevel="1"/>
    <col min="14" max="14" width="7.25390625" style="6" hidden="1" customWidth="1" outlineLevel="1"/>
    <col min="15" max="15" width="7.625" style="6" hidden="1" customWidth="1" outlineLevel="1"/>
    <col min="16" max="16" width="8.25390625" style="7" customWidth="1" collapsed="1"/>
    <col min="17" max="20" width="7.625" style="6" hidden="1" customWidth="1" outlineLevel="1"/>
    <col min="21" max="28" width="8.00390625" style="6" hidden="1" customWidth="1" outlineLevel="1"/>
    <col min="29" max="29" width="10.00390625" style="7" customWidth="1" collapsed="1"/>
    <col min="30" max="30" width="7.875" style="6" hidden="1" customWidth="1" outlineLevel="1"/>
    <col min="31" max="34" width="7.625" style="6" hidden="1" customWidth="1" outlineLevel="1"/>
    <col min="35" max="39" width="8.125" style="6" hidden="1" customWidth="1" outlineLevel="1"/>
    <col min="40" max="40" width="8.375" style="6" hidden="1" customWidth="1" outlineLevel="1"/>
    <col min="41" max="41" width="8.125" style="6" hidden="1" customWidth="1" outlineLevel="1"/>
    <col min="42" max="42" width="9.125" style="7" bestFit="1" customWidth="1" collapsed="1"/>
    <col min="43" max="44" width="9.375" style="7" customWidth="1"/>
    <col min="45" max="47" width="9.375" style="8" customWidth="1"/>
    <col min="48" max="48" width="8.75390625" style="8" bestFit="1" customWidth="1"/>
    <col min="49" max="52" width="9.75390625" style="8" bestFit="1" customWidth="1"/>
    <col min="53" max="55" width="9.125" style="8" bestFit="1" customWidth="1"/>
    <col min="56" max="16384" width="8.625" style="8" customWidth="1"/>
  </cols>
  <sheetData>
    <row r="1" spans="1:40" ht="12.75">
      <c r="A1" s="62" t="s">
        <v>161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  <c r="AD1" s="2"/>
      <c r="AE1" s="2"/>
      <c r="AF1" s="2"/>
      <c r="AG1" s="2"/>
      <c r="AH1" s="2"/>
      <c r="AI1" s="4"/>
      <c r="AJ1" s="4"/>
      <c r="AK1" s="4"/>
      <c r="AL1" s="4"/>
      <c r="AM1" s="4"/>
      <c r="AN1" s="5"/>
    </row>
    <row r="2" spans="1:40" ht="12.75" hidden="1" outlineLevel="1">
      <c r="A2" s="9">
        <f>MAX(K34:AR34)</f>
        <v>445004.50847202877</v>
      </c>
      <c r="B2" s="10">
        <f>MIN(L34:AU34)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"/>
      <c r="S2" s="2"/>
      <c r="T2" s="2"/>
      <c r="U2" s="2"/>
      <c r="V2" s="4"/>
      <c r="W2" s="4"/>
      <c r="X2" s="4"/>
      <c r="Y2" s="4"/>
      <c r="Z2" s="4"/>
      <c r="AA2" s="5"/>
      <c r="AD2" s="2"/>
      <c r="AE2" s="2"/>
      <c r="AF2" s="2"/>
      <c r="AG2" s="2"/>
      <c r="AH2" s="2"/>
      <c r="AI2" s="4"/>
      <c r="AJ2" s="4"/>
      <c r="AK2" s="4"/>
      <c r="AL2" s="4"/>
      <c r="AM2" s="4"/>
      <c r="AN2" s="5"/>
    </row>
    <row r="3" spans="1:40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  <c r="AD3" s="2"/>
      <c r="AE3" s="2"/>
      <c r="AF3" s="2"/>
      <c r="AG3" s="2"/>
      <c r="AH3" s="2"/>
      <c r="AI3" s="4"/>
      <c r="AJ3" s="4"/>
      <c r="AK3" s="4"/>
      <c r="AL3" s="4"/>
      <c r="AM3" s="4"/>
      <c r="AN3" s="5"/>
    </row>
    <row r="4" spans="1:40" ht="12.75">
      <c r="A4" s="11"/>
      <c r="B4" s="12" t="str">
        <f>Исх!$C$10</f>
        <v>тыс.тг.</v>
      </c>
      <c r="C4" s="1"/>
      <c r="D4" s="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  <c r="AD4" s="2"/>
      <c r="AE4" s="2"/>
      <c r="AF4" s="3"/>
      <c r="AG4" s="2"/>
      <c r="AI4" s="13"/>
      <c r="AJ4" s="2"/>
      <c r="AK4" s="2"/>
      <c r="AL4" s="14"/>
      <c r="AM4" s="2"/>
      <c r="AN4" s="2"/>
    </row>
    <row r="5" spans="1:47" ht="15.75" customHeight="1">
      <c r="A5" s="312" t="s">
        <v>3</v>
      </c>
      <c r="B5" s="314" t="s">
        <v>89</v>
      </c>
      <c r="C5" s="15"/>
      <c r="D5" s="314">
        <v>2013</v>
      </c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>
        <v>2014</v>
      </c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5">
        <v>2015</v>
      </c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7"/>
      <c r="AQ5" s="15">
        <f>AD5+1</f>
        <v>2016</v>
      </c>
      <c r="AR5" s="15">
        <f>AQ5+1</f>
        <v>2017</v>
      </c>
      <c r="AS5" s="15">
        <f>AR5+1</f>
        <v>2018</v>
      </c>
      <c r="AT5" s="15">
        <f>AS5+1</f>
        <v>2019</v>
      </c>
      <c r="AU5" s="15">
        <f>AT5+1</f>
        <v>2020</v>
      </c>
    </row>
    <row r="6" spans="1:47" ht="12.75">
      <c r="A6" s="313"/>
      <c r="B6" s="314"/>
      <c r="C6" s="15"/>
      <c r="D6" s="16">
        <v>1</v>
      </c>
      <c r="E6" s="16">
        <f>D6+1</f>
        <v>2</v>
      </c>
      <c r="F6" s="16">
        <f aca="true" t="shared" si="0" ref="F6:O6">E6+1</f>
        <v>3</v>
      </c>
      <c r="G6" s="16">
        <f t="shared" si="0"/>
        <v>4</v>
      </c>
      <c r="H6" s="16">
        <f t="shared" si="0"/>
        <v>5</v>
      </c>
      <c r="I6" s="16">
        <f t="shared" si="0"/>
        <v>6</v>
      </c>
      <c r="J6" s="16">
        <f t="shared" si="0"/>
        <v>7</v>
      </c>
      <c r="K6" s="16">
        <f t="shared" si="0"/>
        <v>8</v>
      </c>
      <c r="L6" s="16">
        <f t="shared" si="0"/>
        <v>9</v>
      </c>
      <c r="M6" s="16">
        <f t="shared" si="0"/>
        <v>10</v>
      </c>
      <c r="N6" s="16">
        <f t="shared" si="0"/>
        <v>11</v>
      </c>
      <c r="O6" s="16">
        <f t="shared" si="0"/>
        <v>12</v>
      </c>
      <c r="P6" s="15" t="s">
        <v>0</v>
      </c>
      <c r="Q6" s="16">
        <v>1</v>
      </c>
      <c r="R6" s="16">
        <f>Q6+1</f>
        <v>2</v>
      </c>
      <c r="S6" s="16">
        <f aca="true" t="shared" si="1" ref="S6:AB6">R6+1</f>
        <v>3</v>
      </c>
      <c r="T6" s="16">
        <f t="shared" si="1"/>
        <v>4</v>
      </c>
      <c r="U6" s="16">
        <f t="shared" si="1"/>
        <v>5</v>
      </c>
      <c r="V6" s="16">
        <f t="shared" si="1"/>
        <v>6</v>
      </c>
      <c r="W6" s="16">
        <f t="shared" si="1"/>
        <v>7</v>
      </c>
      <c r="X6" s="16">
        <f t="shared" si="1"/>
        <v>8</v>
      </c>
      <c r="Y6" s="16">
        <f t="shared" si="1"/>
        <v>9</v>
      </c>
      <c r="Z6" s="16">
        <f t="shared" si="1"/>
        <v>10</v>
      </c>
      <c r="AA6" s="16">
        <f t="shared" si="1"/>
        <v>11</v>
      </c>
      <c r="AB6" s="16">
        <f t="shared" si="1"/>
        <v>12</v>
      </c>
      <c r="AC6" s="15" t="s">
        <v>0</v>
      </c>
      <c r="AD6" s="16">
        <v>1</v>
      </c>
      <c r="AE6" s="16">
        <f aca="true" t="shared" si="2" ref="AE6:AO6">AD6+1</f>
        <v>2</v>
      </c>
      <c r="AF6" s="16">
        <f t="shared" si="2"/>
        <v>3</v>
      </c>
      <c r="AG6" s="16">
        <f t="shared" si="2"/>
        <v>4</v>
      </c>
      <c r="AH6" s="16">
        <f t="shared" si="2"/>
        <v>5</v>
      </c>
      <c r="AI6" s="16">
        <f t="shared" si="2"/>
        <v>6</v>
      </c>
      <c r="AJ6" s="16">
        <f t="shared" si="2"/>
        <v>7</v>
      </c>
      <c r="AK6" s="16">
        <f t="shared" si="2"/>
        <v>8</v>
      </c>
      <c r="AL6" s="16">
        <f t="shared" si="2"/>
        <v>9</v>
      </c>
      <c r="AM6" s="16">
        <f t="shared" si="2"/>
        <v>10</v>
      </c>
      <c r="AN6" s="16">
        <f t="shared" si="2"/>
        <v>11</v>
      </c>
      <c r="AO6" s="16">
        <f t="shared" si="2"/>
        <v>12</v>
      </c>
      <c r="AP6" s="15" t="s">
        <v>0</v>
      </c>
      <c r="AQ6" s="15" t="s">
        <v>111</v>
      </c>
      <c r="AR6" s="15" t="s">
        <v>111</v>
      </c>
      <c r="AS6" s="15" t="s">
        <v>111</v>
      </c>
      <c r="AT6" s="15" t="s">
        <v>111</v>
      </c>
      <c r="AU6" s="15" t="s">
        <v>111</v>
      </c>
    </row>
    <row r="7" spans="1:47" s="21" customFormat="1" ht="12.75">
      <c r="A7" s="17" t="s">
        <v>379</v>
      </c>
      <c r="B7" s="18">
        <f>P7</f>
        <v>0</v>
      </c>
      <c r="C7" s="19"/>
      <c r="D7" s="20">
        <f>C34</f>
        <v>0</v>
      </c>
      <c r="E7" s="20">
        <f aca="true" t="shared" si="3" ref="E7:K7">D34</f>
        <v>0</v>
      </c>
      <c r="F7" s="20">
        <f t="shared" si="3"/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>K34</f>
        <v>0</v>
      </c>
      <c r="M7" s="20">
        <f>L34</f>
        <v>0</v>
      </c>
      <c r="N7" s="20">
        <f>M34</f>
        <v>0</v>
      </c>
      <c r="O7" s="20">
        <f>N34</f>
        <v>39664.4608</v>
      </c>
      <c r="P7" s="20">
        <f>D7</f>
        <v>0</v>
      </c>
      <c r="Q7" s="20">
        <f>P34</f>
        <v>0</v>
      </c>
      <c r="R7" s="20">
        <f aca="true" t="shared" si="4" ref="R7:AA7">Q34</f>
        <v>0</v>
      </c>
      <c r="S7" s="20">
        <f t="shared" si="4"/>
        <v>0</v>
      </c>
      <c r="T7" s="20">
        <f t="shared" si="4"/>
        <v>8000</v>
      </c>
      <c r="U7" s="20">
        <f t="shared" si="4"/>
        <v>9360.205821018382</v>
      </c>
      <c r="V7" s="20">
        <f t="shared" si="4"/>
        <v>21559.495806388768</v>
      </c>
      <c r="W7" s="20">
        <f t="shared" si="4"/>
        <v>55693.77486719597</v>
      </c>
      <c r="X7" s="20">
        <f t="shared" si="4"/>
        <v>98316.11969355542</v>
      </c>
      <c r="Y7" s="20">
        <f t="shared" si="4"/>
        <v>128508.8475827182</v>
      </c>
      <c r="Z7" s="20">
        <f t="shared" si="4"/>
        <v>137910.00195817996</v>
      </c>
      <c r="AA7" s="20">
        <f t="shared" si="4"/>
        <v>135393.3478610286</v>
      </c>
      <c r="AB7" s="20">
        <f>AA34</f>
        <v>109044.35719024374</v>
      </c>
      <c r="AC7" s="20">
        <f>Q7</f>
        <v>0</v>
      </c>
      <c r="AD7" s="20">
        <f aca="true" t="shared" si="5" ref="AD7:AO7">AC34</f>
        <v>66520.79560335971</v>
      </c>
      <c r="AE7" s="20">
        <f t="shared" si="5"/>
        <v>25280.432313161036</v>
      </c>
      <c r="AF7" s="20">
        <f t="shared" si="5"/>
        <v>10672.492778275868</v>
      </c>
      <c r="AG7" s="20">
        <f t="shared" si="5"/>
        <v>683.0327674828823</v>
      </c>
      <c r="AH7" s="20">
        <f t="shared" si="5"/>
        <v>8447.356648035802</v>
      </c>
      <c r="AI7" s="20">
        <f t="shared" si="5"/>
        <v>42844.04483594838</v>
      </c>
      <c r="AJ7" s="20">
        <f t="shared" si="5"/>
        <v>103873.07728360132</v>
      </c>
      <c r="AK7" s="20">
        <f t="shared" si="5"/>
        <v>182655.83347906393</v>
      </c>
      <c r="AL7" s="20">
        <f t="shared" si="5"/>
        <v>239696.84833531387</v>
      </c>
      <c r="AM7" s="20">
        <f t="shared" si="5"/>
        <v>261223.232094996</v>
      </c>
      <c r="AN7" s="20">
        <f t="shared" si="5"/>
        <v>266997.6770108207</v>
      </c>
      <c r="AO7" s="20">
        <f t="shared" si="5"/>
        <v>241271.76174885113</v>
      </c>
      <c r="AP7" s="20">
        <f>AD7</f>
        <v>66520.79560335971</v>
      </c>
      <c r="AQ7" s="20">
        <f>AP34</f>
        <v>195993.21996239384</v>
      </c>
      <c r="AR7" s="20">
        <f>AQ34</f>
        <v>314376.2184468181</v>
      </c>
      <c r="AS7" s="20">
        <f>AR34</f>
        <v>445004.50847202877</v>
      </c>
      <c r="AT7" s="20">
        <f>AS34</f>
        <v>587722.7104835977</v>
      </c>
      <c r="AU7" s="20">
        <f>AT34</f>
        <v>742366.7797710889</v>
      </c>
    </row>
    <row r="8" spans="1:47" s="21" customFormat="1" ht="12.75">
      <c r="A8" s="22" t="s">
        <v>10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</row>
    <row r="9" spans="1:47" s="21" customFormat="1" ht="12.75">
      <c r="A9" s="26" t="s">
        <v>18</v>
      </c>
      <c r="B9" s="27">
        <f>SUM(B10:B10)</f>
        <v>7269357.312</v>
      </c>
      <c r="C9" s="27"/>
      <c r="D9" s="27">
        <f aca="true" t="shared" si="6" ref="D9:AU9">SUM(D10:D10)</f>
        <v>0</v>
      </c>
      <c r="E9" s="27">
        <f t="shared" si="6"/>
        <v>0</v>
      </c>
      <c r="F9" s="27">
        <f t="shared" si="6"/>
        <v>0</v>
      </c>
      <c r="G9" s="27">
        <f t="shared" si="6"/>
        <v>0</v>
      </c>
      <c r="H9" s="27">
        <f t="shared" si="6"/>
        <v>0</v>
      </c>
      <c r="I9" s="27">
        <f t="shared" si="6"/>
        <v>0</v>
      </c>
      <c r="J9" s="27">
        <f t="shared" si="6"/>
        <v>0</v>
      </c>
      <c r="K9" s="27">
        <f t="shared" si="6"/>
        <v>0</v>
      </c>
      <c r="L9" s="27">
        <f t="shared" si="6"/>
        <v>0</v>
      </c>
      <c r="M9" s="27">
        <f t="shared" si="6"/>
        <v>0</v>
      </c>
      <c r="N9" s="27">
        <f t="shared" si="6"/>
        <v>0</v>
      </c>
      <c r="O9" s="27">
        <f t="shared" si="6"/>
        <v>0</v>
      </c>
      <c r="P9" s="27">
        <f t="shared" si="6"/>
        <v>0</v>
      </c>
      <c r="Q9" s="27">
        <f t="shared" si="6"/>
        <v>0</v>
      </c>
      <c r="R9" s="27">
        <f t="shared" si="6"/>
        <v>0</v>
      </c>
      <c r="S9" s="27">
        <f t="shared" si="6"/>
        <v>30191.616</v>
      </c>
      <c r="T9" s="27">
        <f t="shared" si="6"/>
        <v>40255.488000000005</v>
      </c>
      <c r="U9" s="27">
        <f t="shared" si="6"/>
        <v>55351.296</v>
      </c>
      <c r="V9" s="27">
        <f t="shared" si="6"/>
        <v>79252.99200000001</v>
      </c>
      <c r="W9" s="27">
        <f t="shared" si="6"/>
        <v>90574.848</v>
      </c>
      <c r="X9" s="27">
        <f t="shared" si="6"/>
        <v>79252.99200000001</v>
      </c>
      <c r="Y9" s="27">
        <f t="shared" si="6"/>
        <v>62899.200000000004</v>
      </c>
      <c r="Z9" s="27">
        <f t="shared" si="6"/>
        <v>50319.35999999999</v>
      </c>
      <c r="AA9" s="27">
        <f t="shared" si="6"/>
        <v>25159.679999999997</v>
      </c>
      <c r="AB9" s="27">
        <f t="shared" si="6"/>
        <v>12579.839999999998</v>
      </c>
      <c r="AC9" s="27">
        <f t="shared" si="6"/>
        <v>525837.312</v>
      </c>
      <c r="AD9" s="27">
        <f t="shared" si="6"/>
        <v>18748.800000000003</v>
      </c>
      <c r="AE9" s="27">
        <f t="shared" si="6"/>
        <v>46872.00000000001</v>
      </c>
      <c r="AF9" s="27">
        <f t="shared" si="6"/>
        <v>56246.40000000001</v>
      </c>
      <c r="AG9" s="27">
        <f t="shared" si="6"/>
        <v>74995.20000000001</v>
      </c>
      <c r="AH9" s="27">
        <f t="shared" si="6"/>
        <v>103118.40000000001</v>
      </c>
      <c r="AI9" s="27">
        <f t="shared" si="6"/>
        <v>131241.60000000003</v>
      </c>
      <c r="AJ9" s="27">
        <f t="shared" si="6"/>
        <v>149990.40000000002</v>
      </c>
      <c r="AK9" s="27">
        <f t="shared" si="6"/>
        <v>131241.60000000003</v>
      </c>
      <c r="AL9" s="27">
        <f t="shared" si="6"/>
        <v>93744.00000000001</v>
      </c>
      <c r="AM9" s="27">
        <f t="shared" si="6"/>
        <v>74995.20000000001</v>
      </c>
      <c r="AN9" s="27">
        <f t="shared" si="6"/>
        <v>37497.600000000006</v>
      </c>
      <c r="AO9" s="27">
        <f t="shared" si="6"/>
        <v>18748.800000000003</v>
      </c>
      <c r="AP9" s="27">
        <f t="shared" si="6"/>
        <v>937440.0000000001</v>
      </c>
      <c r="AQ9" s="27">
        <f t="shared" si="6"/>
        <v>1016063.9999999999</v>
      </c>
      <c r="AR9" s="27">
        <f t="shared" si="6"/>
        <v>1088640</v>
      </c>
      <c r="AS9" s="27">
        <f t="shared" si="6"/>
        <v>1161216</v>
      </c>
      <c r="AT9" s="27">
        <f t="shared" si="6"/>
        <v>1233791.9999999998</v>
      </c>
      <c r="AU9" s="27">
        <f t="shared" si="6"/>
        <v>1306367.9999999998</v>
      </c>
    </row>
    <row r="10" spans="1:47" ht="12.75">
      <c r="A10" s="28" t="str">
        <f>'2-ф2'!A6</f>
        <v>Обои</v>
      </c>
      <c r="B10" s="27">
        <f>P10+AC10+AP10+AQ10+AR10+AS10+AT10+AU10</f>
        <v>7269357.312</v>
      </c>
      <c r="C10" s="27"/>
      <c r="D10" s="29">
        <f>'2-ф2'!D6*Исх!$C$19</f>
        <v>0</v>
      </c>
      <c r="E10" s="29">
        <f>'2-ф2'!E6*Исх!$C$19</f>
        <v>0</v>
      </c>
      <c r="F10" s="29">
        <f>'2-ф2'!F6*Исх!$C$19</f>
        <v>0</v>
      </c>
      <c r="G10" s="29">
        <f>'2-ф2'!G6*Исх!$C$19</f>
        <v>0</v>
      </c>
      <c r="H10" s="29">
        <f>'2-ф2'!H6*Исх!$C$19</f>
        <v>0</v>
      </c>
      <c r="I10" s="29">
        <f>'2-ф2'!I6*Исх!$C$19</f>
        <v>0</v>
      </c>
      <c r="J10" s="29">
        <f>'2-ф2'!J6*Исх!$C$19</f>
        <v>0</v>
      </c>
      <c r="K10" s="29">
        <f>'2-ф2'!K6*Исх!$C$19</f>
        <v>0</v>
      </c>
      <c r="L10" s="29">
        <f>'2-ф2'!L6*Исх!$C$19</f>
        <v>0</v>
      </c>
      <c r="M10" s="29">
        <f>'2-ф2'!M6*Исх!$C$19</f>
        <v>0</v>
      </c>
      <c r="N10" s="29">
        <f>'2-ф2'!N6*Исх!$C$19</f>
        <v>0</v>
      </c>
      <c r="O10" s="29">
        <f>'2-ф2'!O6*Исх!$C$19</f>
        <v>0</v>
      </c>
      <c r="P10" s="27">
        <f>SUM(D10:O10)</f>
        <v>0</v>
      </c>
      <c r="Q10" s="29">
        <f>'2-ф2'!Q6*Исх!$C$19</f>
        <v>0</v>
      </c>
      <c r="R10" s="29">
        <f>'2-ф2'!R6*Исх!$C$19</f>
        <v>0</v>
      </c>
      <c r="S10" s="29">
        <f>'2-ф2'!S6*Исх!$C$19</f>
        <v>30191.616</v>
      </c>
      <c r="T10" s="29">
        <f>'2-ф2'!T6*Исх!$C$19</f>
        <v>40255.488000000005</v>
      </c>
      <c r="U10" s="29">
        <f>'2-ф2'!U6*Исх!$C$19</f>
        <v>55351.296</v>
      </c>
      <c r="V10" s="29">
        <f>'2-ф2'!V6*Исх!$C$19</f>
        <v>79252.99200000001</v>
      </c>
      <c r="W10" s="29">
        <f>'2-ф2'!W6*Исх!$C$19</f>
        <v>90574.848</v>
      </c>
      <c r="X10" s="29">
        <f>'2-ф2'!X6*Исх!$C$19</f>
        <v>79252.99200000001</v>
      </c>
      <c r="Y10" s="29">
        <f>'2-ф2'!Y6*Исх!$C$19</f>
        <v>62899.200000000004</v>
      </c>
      <c r="Z10" s="29">
        <f>'2-ф2'!Z6*Исх!$C$19</f>
        <v>50319.35999999999</v>
      </c>
      <c r="AA10" s="29">
        <f>'2-ф2'!AA6*Исх!$C$19</f>
        <v>25159.679999999997</v>
      </c>
      <c r="AB10" s="29">
        <f>'2-ф2'!AB6*Исх!$C$19</f>
        <v>12579.839999999998</v>
      </c>
      <c r="AC10" s="27">
        <f>SUM(Q10:AB10)</f>
        <v>525837.312</v>
      </c>
      <c r="AD10" s="29">
        <f>'2-ф2'!AD6*Исх!$C$19</f>
        <v>18748.800000000003</v>
      </c>
      <c r="AE10" s="29">
        <f>'2-ф2'!AE6*Исх!$C$19</f>
        <v>46872.00000000001</v>
      </c>
      <c r="AF10" s="29">
        <f>'2-ф2'!AF6*Исх!$C$19</f>
        <v>56246.40000000001</v>
      </c>
      <c r="AG10" s="29">
        <f>'2-ф2'!AG6*Исх!$C$19</f>
        <v>74995.20000000001</v>
      </c>
      <c r="AH10" s="29">
        <f>'2-ф2'!AH6*Исх!$C$19</f>
        <v>103118.40000000001</v>
      </c>
      <c r="AI10" s="29">
        <f>'2-ф2'!AI6*Исх!$C$19</f>
        <v>131241.60000000003</v>
      </c>
      <c r="AJ10" s="29">
        <f>'2-ф2'!AJ6*Исх!$C$19</f>
        <v>149990.40000000002</v>
      </c>
      <c r="AK10" s="29">
        <f>'2-ф2'!AK6*Исх!$C$19</f>
        <v>131241.60000000003</v>
      </c>
      <c r="AL10" s="29">
        <f>'2-ф2'!AL6*Исх!$C$19</f>
        <v>93744.00000000001</v>
      </c>
      <c r="AM10" s="29">
        <f>'2-ф2'!AM6*Исх!$C$19</f>
        <v>74995.20000000001</v>
      </c>
      <c r="AN10" s="29">
        <f>'2-ф2'!AN6*Исх!$C$19</f>
        <v>37497.600000000006</v>
      </c>
      <c r="AO10" s="29">
        <f>'2-ф2'!AO6*Исх!$C$19</f>
        <v>18748.800000000003</v>
      </c>
      <c r="AP10" s="27">
        <f>SUM(AD10:AO10)</f>
        <v>937440.0000000001</v>
      </c>
      <c r="AQ10" s="29">
        <f>'2-ф2'!AQ6*Исх!$C$19</f>
        <v>1016063.9999999999</v>
      </c>
      <c r="AR10" s="29">
        <f>'2-ф2'!AR6*Исх!$C$19</f>
        <v>1088640</v>
      </c>
      <c r="AS10" s="29">
        <f>'2-ф2'!AS6*Исх!$C$19</f>
        <v>1161216</v>
      </c>
      <c r="AT10" s="29">
        <f>'2-ф2'!AT6*Исх!$C$19</f>
        <v>1233791.9999999998</v>
      </c>
      <c r="AU10" s="29">
        <f>'2-ф2'!AU6*Исх!$C$19</f>
        <v>1306367.9999999998</v>
      </c>
    </row>
    <row r="11" spans="1:47" s="21" customFormat="1" ht="12.75">
      <c r="A11" s="30" t="s">
        <v>5</v>
      </c>
      <c r="B11" s="27">
        <f>SUM(B12:B16)</f>
        <v>6211460.077600554</v>
      </c>
      <c r="C11" s="27"/>
      <c r="D11" s="31">
        <f aca="true" t="shared" si="7" ref="D11:AU11">SUM(D12:D16)</f>
        <v>0</v>
      </c>
      <c r="E11" s="31">
        <f t="shared" si="7"/>
        <v>0</v>
      </c>
      <c r="F11" s="31">
        <f t="shared" si="7"/>
        <v>0</v>
      </c>
      <c r="G11" s="31">
        <f t="shared" si="7"/>
        <v>0</v>
      </c>
      <c r="H11" s="31">
        <f t="shared" si="7"/>
        <v>0</v>
      </c>
      <c r="I11" s="31">
        <f t="shared" si="7"/>
        <v>0</v>
      </c>
      <c r="J11" s="31">
        <f t="shared" si="7"/>
        <v>0</v>
      </c>
      <c r="K11" s="31">
        <f t="shared" si="7"/>
        <v>0</v>
      </c>
      <c r="L11" s="31">
        <f t="shared" si="7"/>
        <v>0</v>
      </c>
      <c r="M11" s="31">
        <f t="shared" si="7"/>
        <v>0</v>
      </c>
      <c r="N11" s="31">
        <f t="shared" si="7"/>
        <v>0</v>
      </c>
      <c r="O11" s="31">
        <f t="shared" si="7"/>
        <v>51080.68602777599</v>
      </c>
      <c r="P11" s="31">
        <f t="shared" si="7"/>
        <v>51080.68602777599</v>
      </c>
      <c r="Q11" s="31">
        <f t="shared" si="7"/>
        <v>30381.834507685613</v>
      </c>
      <c r="R11" s="31">
        <f t="shared" si="7"/>
        <v>30381.834507685613</v>
      </c>
      <c r="S11" s="31">
        <f t="shared" si="7"/>
        <v>34638.558343333614</v>
      </c>
      <c r="T11" s="31">
        <f t="shared" si="7"/>
        <v>38895.28217898162</v>
      </c>
      <c r="U11" s="31">
        <f t="shared" si="7"/>
        <v>43152.00601462962</v>
      </c>
      <c r="V11" s="31">
        <f t="shared" si="7"/>
        <v>44328.54637481949</v>
      </c>
      <c r="W11" s="31">
        <f t="shared" si="7"/>
        <v>46926.06268880456</v>
      </c>
      <c r="X11" s="31">
        <f t="shared" si="7"/>
        <v>46921.469442115274</v>
      </c>
      <c r="Y11" s="31">
        <f t="shared" si="7"/>
        <v>50669.800448168135</v>
      </c>
      <c r="Z11" s="31">
        <f t="shared" si="7"/>
        <v>49991.27082391909</v>
      </c>
      <c r="AA11" s="31">
        <f t="shared" si="7"/>
        <v>48647.333061792044</v>
      </c>
      <c r="AB11" s="31">
        <f t="shared" si="7"/>
        <v>52225.37284183876</v>
      </c>
      <c r="AC11" s="31">
        <f t="shared" si="7"/>
        <v>517159.3712337735</v>
      </c>
      <c r="AD11" s="31">
        <f t="shared" si="7"/>
        <v>57094.34604414066</v>
      </c>
      <c r="AE11" s="31">
        <f t="shared" si="7"/>
        <v>58568.23585489181</v>
      </c>
      <c r="AF11" s="31">
        <f t="shared" si="7"/>
        <v>63307.171392666336</v>
      </c>
      <c r="AG11" s="31">
        <f t="shared" si="7"/>
        <v>64285.10348438136</v>
      </c>
      <c r="AH11" s="31">
        <f t="shared" si="7"/>
        <v>65758.75550331715</v>
      </c>
      <c r="AI11" s="31">
        <f t="shared" si="7"/>
        <v>67232.32733177565</v>
      </c>
      <c r="AJ11" s="31">
        <f t="shared" si="7"/>
        <v>68210.01884934594</v>
      </c>
      <c r="AK11" s="31">
        <f t="shared" si="7"/>
        <v>71185.4740429867</v>
      </c>
      <c r="AL11" s="31">
        <f t="shared" si="7"/>
        <v>69184.91699146671</v>
      </c>
      <c r="AM11" s="31">
        <f t="shared" si="7"/>
        <v>66170.3650897058</v>
      </c>
      <c r="AN11" s="31">
        <f t="shared" si="7"/>
        <v>60155.3313258657</v>
      </c>
      <c r="AO11" s="31">
        <f t="shared" si="7"/>
        <v>60941.26011072616</v>
      </c>
      <c r="AP11" s="31">
        <f t="shared" si="7"/>
        <v>772093.3060212701</v>
      </c>
      <c r="AQ11" s="31">
        <f t="shared" si="7"/>
        <v>859213.3780444134</v>
      </c>
      <c r="AR11" s="31">
        <f t="shared" si="7"/>
        <v>916763.2588925496</v>
      </c>
      <c r="AS11" s="31">
        <f t="shared" si="7"/>
        <v>974267.4930422617</v>
      </c>
      <c r="AT11" s="31">
        <f t="shared" si="7"/>
        <v>1031720.2134454846</v>
      </c>
      <c r="AU11" s="31">
        <f t="shared" si="7"/>
        <v>1089162.3708930258</v>
      </c>
    </row>
    <row r="12" spans="1:47" ht="12.75">
      <c r="A12" s="28" t="str">
        <f>'2-ф2'!A8</f>
        <v>Сырье и материалы</v>
      </c>
      <c r="B12" s="27">
        <f>P12+AC12+AP12+AQ12+AR12+AS12+AT12+AU12</f>
        <v>5240027.041682688</v>
      </c>
      <c r="C12" s="32"/>
      <c r="D12" s="29">
        <f>'2-ф2'!D8/2*Исх!$C$19+'2-ф2'!D8/2</f>
        <v>0</v>
      </c>
      <c r="E12" s="29">
        <f>'2-ф2'!E8/2*Исх!$C$19+'2-ф2'!E8/2</f>
        <v>0</v>
      </c>
      <c r="F12" s="29"/>
      <c r="G12" s="29">
        <f>'2-ф2'!G8/2*Исх!$C$19+'2-ф2'!G8/2</f>
        <v>0</v>
      </c>
      <c r="H12" s="29">
        <f>'2-ф2'!H8/2*Исх!$C$19+'2-ф2'!H8/2</f>
        <v>0</v>
      </c>
      <c r="I12" s="29">
        <f>'2-ф2'!I8/2*Исх!$C$19+'2-ф2'!I8/2</f>
        <v>0</v>
      </c>
      <c r="J12" s="29">
        <f>'2-ф2'!J8*Исх!$C$19</f>
        <v>0</v>
      </c>
      <c r="K12" s="29">
        <f>'2-ф2'!K8*Исх!$C$19</f>
        <v>0</v>
      </c>
      <c r="L12" s="29">
        <f>'2-ф2'!L8*Исх!$C$19</f>
        <v>0</v>
      </c>
      <c r="M12" s="29">
        <f>'2-ф2'!M8*Исх!$C$19</f>
        <v>0</v>
      </c>
      <c r="N12" s="29">
        <f>'2-ф2'!N8*Исх!$C$19</f>
        <v>0</v>
      </c>
      <c r="O12" s="29">
        <f>Q12*2</f>
        <v>51080.68602777599</v>
      </c>
      <c r="P12" s="27">
        <f>SUM(D12:O12)</f>
        <v>51080.68602777599</v>
      </c>
      <c r="Q12" s="29">
        <f>Производство!Q7*'Расх перем'!$E$10*Исх!$C$19</f>
        <v>25540.343013887996</v>
      </c>
      <c r="R12" s="29">
        <f>Производство!R7*'Расх перем'!$E$10*Исх!$C$19</f>
        <v>25540.343013887996</v>
      </c>
      <c r="S12" s="29">
        <f>Производство!S7*'Расх перем'!$E$10*Исх!$C$19</f>
        <v>29797.066849535997</v>
      </c>
      <c r="T12" s="29">
        <f>Производство!T7*'Расх перем'!$E$10*Исх!$C$19</f>
        <v>34053.790685184</v>
      </c>
      <c r="U12" s="29">
        <f>Производство!U7*'Расх перем'!$E$10*Исх!$C$19</f>
        <v>38310.514520831995</v>
      </c>
      <c r="V12" s="29">
        <f>Производство!V7*'Расх перем'!$E$10*Исх!$C$19</f>
        <v>38310.514520831995</v>
      </c>
      <c r="W12" s="29">
        <f>Производство!W7*'Расх перем'!$E$10*Исх!$C$19</f>
        <v>38310.514520831995</v>
      </c>
      <c r="X12" s="29">
        <f>Производство!X7*'Расх перем'!$E$10*Исх!$C$19</f>
        <v>38310.514520831995</v>
      </c>
      <c r="Y12" s="29">
        <f>Производство!Y7*'Расх перем'!$E$10*Исх!$C$19</f>
        <v>42567.23835648</v>
      </c>
      <c r="Z12" s="29">
        <f>Производство!Z7*'Расх перем'!$E$10*Исх!$C$19</f>
        <v>42567.23835648</v>
      </c>
      <c r="AA12" s="29">
        <f>Производство!AA7*'Расх перем'!$E$10*Исх!$C$19</f>
        <v>42567.23835648</v>
      </c>
      <c r="AB12" s="29">
        <f>Производство!AB7*'Расх перем'!$E$10*Исх!$C$19</f>
        <v>46823.962192128</v>
      </c>
      <c r="AC12" s="27">
        <f>SUM(Q12:AB12)</f>
        <v>442699.278907392</v>
      </c>
      <c r="AD12" s="29">
        <f>Производство!AD7*'Расх перем'!$E$10*Исх!$C$19</f>
        <v>51080.68602777599</v>
      </c>
      <c r="AE12" s="29">
        <f>Производство!AE7*'Расх перем'!$E$10*Исх!$C$19</f>
        <v>51080.68602777599</v>
      </c>
      <c r="AF12" s="29">
        <f>Производство!AF7*'Расх перем'!$E$10*Исх!$C$19</f>
        <v>55337.409863424</v>
      </c>
      <c r="AG12" s="29">
        <f>Производство!AG7*'Расх перем'!$E$10*Исх!$C$19</f>
        <v>55337.409863424</v>
      </c>
      <c r="AH12" s="29">
        <f>Производство!AH7*'Расх перем'!$E$10*Исх!$C$19</f>
        <v>55337.409863424</v>
      </c>
      <c r="AI12" s="29">
        <f>Производство!AI7*'Расх перем'!$E$10*Исх!$C$19</f>
        <v>55337.409863424</v>
      </c>
      <c r="AJ12" s="29">
        <f>Производство!AJ7*'Расх перем'!$E$10*Исх!$C$19</f>
        <v>55337.409863424</v>
      </c>
      <c r="AK12" s="29">
        <f>Производство!AK7*'Расх перем'!$E$10*Исх!$C$19</f>
        <v>55337.409863424</v>
      </c>
      <c r="AL12" s="29">
        <f>Производство!AL7*'Расх перем'!$E$10*Исх!$C$19</f>
        <v>55337.409863424</v>
      </c>
      <c r="AM12" s="29">
        <f>Производство!AM7*'Расх перем'!$E$10*Исх!$C$19</f>
        <v>55337.409863424</v>
      </c>
      <c r="AN12" s="29">
        <f>Производство!AN7*'Расх перем'!$E$10*Исх!$C$19</f>
        <v>55337.409863424</v>
      </c>
      <c r="AO12" s="29">
        <f>Производство!AO7*'Расх перем'!$E$10*Исх!$C$19</f>
        <v>59594.133699071994</v>
      </c>
      <c r="AP12" s="27">
        <f>SUM(AD12:AO12)</f>
        <v>659792.19452544</v>
      </c>
      <c r="AQ12" s="29">
        <f>Производство!AQ7*'Расх перем'!$E$10*Исх!$C$19</f>
        <v>715129.6043888639</v>
      </c>
      <c r="AR12" s="29">
        <f>Производство!AR7*'Расх перем'!$E$10*Исх!$C$19</f>
        <v>766210.29041664</v>
      </c>
      <c r="AS12" s="29">
        <f>Производство!AS7*'Расх перем'!$E$10*Исх!$C$19</f>
        <v>817290.976444416</v>
      </c>
      <c r="AT12" s="29">
        <f>Производство!AT7*'Расх перем'!$E$10*Исх!$C$19</f>
        <v>868371.6624721918</v>
      </c>
      <c r="AU12" s="29">
        <f>Производство!AU7*'Расх перем'!$E$10*Исх!$C$19</f>
        <v>919452.3484999678</v>
      </c>
    </row>
    <row r="13" spans="1:47" ht="12.75">
      <c r="A13" s="28" t="s">
        <v>145</v>
      </c>
      <c r="B13" s="27">
        <f>P13+AC13+AP13+AQ13+AR13+AS13+AT13+AU13</f>
        <v>483625.298996474</v>
      </c>
      <c r="C13" s="27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7">
        <f>SUM(D13:O13)</f>
        <v>0</v>
      </c>
      <c r="Q13" s="29">
        <f>(Пост!$D$21-Пост!$D$5)*Исх!$C$19+Пост!$D$5+Пост!$D$23+Пост!$D$26</f>
        <v>4841.491493797619</v>
      </c>
      <c r="R13" s="29">
        <f>(Пост!$D$21-Пост!$D$5)*Исх!$C$19+Пост!$D$5+Пост!$D$23+Пост!$D$26</f>
        <v>4841.491493797619</v>
      </c>
      <c r="S13" s="29">
        <f>(Пост!$D$21-Пост!$D$5)*Исх!$C$19+Пост!$D$5+Пост!$D$23+Пост!$D$26</f>
        <v>4841.491493797619</v>
      </c>
      <c r="T13" s="29">
        <f>(Пост!$D$21-Пост!$D$5)*Исх!$C$19+Пост!$D$5+Пост!$D$23+Пост!$D$26</f>
        <v>4841.491493797619</v>
      </c>
      <c r="U13" s="29">
        <f>(Пост!$D$21-Пост!$D$5)*Исх!$C$19+Пост!$D$5+Пост!$D$23+Пост!$D$26</f>
        <v>4841.491493797619</v>
      </c>
      <c r="V13" s="29">
        <f>(Пост!$D$21-Пост!$D$5)*Исх!$C$19+Пост!$D$5+Пост!$D$23+Пост!$D$26</f>
        <v>4841.491493797619</v>
      </c>
      <c r="W13" s="29">
        <f>(Пост!$D$21-Пост!$D$5)*Исх!$C$19+Пост!$D$5+Пост!$D$23+Пост!$D$26</f>
        <v>4841.491493797619</v>
      </c>
      <c r="X13" s="29">
        <f>(Пост!$D$21-Пост!$D$5)*Исх!$C$19+Пост!$D$5+Пост!$D$23+Пост!$D$26</f>
        <v>4841.491493797619</v>
      </c>
      <c r="Y13" s="29">
        <f>(Пост!$D$21-Пост!$D$5)*Исх!$C$19+Пост!$D$5+Пост!$D$23+Пост!$D$26</f>
        <v>4841.491493797619</v>
      </c>
      <c r="Z13" s="29">
        <f>(Пост!$D$21-Пост!$D$5)*Исх!$C$19+Пост!$D$5+Пост!$D$23+Пост!$D$26</f>
        <v>4841.491493797619</v>
      </c>
      <c r="AA13" s="29">
        <f>(Пост!$D$21-Пост!$D$5)*Исх!$C$19+Пост!$D$5+Пост!$D$23+Пост!$D$26</f>
        <v>4841.491493797619</v>
      </c>
      <c r="AB13" s="29">
        <f>(Пост!$D$21-Пост!$D$5)*Исх!$C$19+Пост!$D$5+Пост!$D$23+Пост!$D$26</f>
        <v>4841.491493797619</v>
      </c>
      <c r="AC13" s="27">
        <f>SUM(Q13:AB13)</f>
        <v>58097.897925571444</v>
      </c>
      <c r="AD13" s="29">
        <f>(Пост!$E$21-Пост!$E$5)*Исх!$C$19+Пост!$E$5+Пост!$E$23+Пост!$E$26</f>
        <v>5210.601957119048</v>
      </c>
      <c r="AE13" s="29">
        <f>(Пост!$E$21-Пост!$E$5)*Исх!$C$19+Пост!$E$5+Пост!$E$23+Пост!$E$26</f>
        <v>5210.601957119048</v>
      </c>
      <c r="AF13" s="29">
        <f>(Пост!$E$21-Пост!$E$5)*Исх!$C$19+Пост!$E$5+Пост!$E$23+Пост!$E$26</f>
        <v>5210.601957119048</v>
      </c>
      <c r="AG13" s="29">
        <f>(Пост!$E$21-Пост!$E$5)*Исх!$C$19+Пост!$E$5+Пост!$E$23+Пост!$E$26</f>
        <v>5210.601957119048</v>
      </c>
      <c r="AH13" s="29">
        <f>(Пост!$E$21-Пост!$E$5)*Исх!$C$19+Пост!$E$5+Пост!$E$23+Пост!$E$26</f>
        <v>5210.601957119048</v>
      </c>
      <c r="AI13" s="29">
        <f>(Пост!$E$21-Пост!$E$5)*Исх!$C$19+Пост!$E$5+Пост!$E$23+Пост!$E$26</f>
        <v>5210.601957119048</v>
      </c>
      <c r="AJ13" s="29">
        <f>(Пост!$E$21-Пост!$E$5)*Исх!$C$19+Пост!$E$5+Пост!$E$23+Пост!$E$26</f>
        <v>5210.601957119048</v>
      </c>
      <c r="AK13" s="29">
        <f>(Пост!$E$21-Пост!$E$5)*Исх!$C$19+Пост!$E$5+Пост!$E$23+Пост!$E$26</f>
        <v>5210.601957119048</v>
      </c>
      <c r="AL13" s="29">
        <f>(Пост!$E$21-Пост!$E$5)*Исх!$C$19+Пост!$E$5+Пост!$E$23+Пост!$E$26</f>
        <v>5210.601957119048</v>
      </c>
      <c r="AM13" s="29">
        <f>(Пост!$E$21-Пост!$E$5)*Исх!$C$19+Пост!$E$5+Пост!$E$23+Пост!$E$26</f>
        <v>5210.601957119048</v>
      </c>
      <c r="AN13" s="29">
        <f>(Пост!$E$21-Пост!$E$5)*Исх!$C$19+Пост!$E$5+Пост!$E$23+Пост!$E$26</f>
        <v>5210.601957119048</v>
      </c>
      <c r="AO13" s="29">
        <f>(Пост!$E$21-Пост!$E$5)*Исх!$C$19+Пост!$E$5+Пост!$E$23+Пост!$E$26</f>
        <v>5210.601957119048</v>
      </c>
      <c r="AP13" s="27">
        <f>SUM(AD13:AO13)</f>
        <v>62527.22348542858</v>
      </c>
      <c r="AQ13" s="29">
        <f>((Пост!F21-Пост!F5)*Исх!$C$19+Пост!F5+Пост!F23+Пост!F26)*12</f>
        <v>65715.50353223571</v>
      </c>
      <c r="AR13" s="29">
        <f>((Пост!G21-Пост!G5)*Исх!$C$19+Пост!G5+Пост!G23+Пост!G26)*12</f>
        <v>69007.35055754038</v>
      </c>
      <c r="AS13" s="29">
        <f>((Пост!H21-Пост!H5)*Исх!$C$19+Пост!H5+Пост!H23+Пост!H26)*12</f>
        <v>72445.91201066737</v>
      </c>
      <c r="AT13" s="29">
        <f>((Пост!I21-Пост!I5)*Исх!$C$19+Пост!I5+Пост!I23+Пост!I26)*12</f>
        <v>76038.52361300794</v>
      </c>
      <c r="AU13" s="29">
        <f>((Пост!J21-Пост!J5)*Исх!$C$19+Пост!J5+Пост!J23+Пост!J26)*12</f>
        <v>79792.88787202258</v>
      </c>
    </row>
    <row r="14" spans="1:47" ht="12.75">
      <c r="A14" s="28" t="s">
        <v>54</v>
      </c>
      <c r="B14" s="27">
        <f>P14+AC14+AP14+AQ14+AR14+AS14+AT14+AU14</f>
        <v>62462.199842415255</v>
      </c>
      <c r="C14" s="27"/>
      <c r="D14" s="29">
        <f>кр!C26</f>
        <v>0</v>
      </c>
      <c r="E14" s="29">
        <f>кр!D26</f>
        <v>0</v>
      </c>
      <c r="F14" s="29">
        <f>кр!E26</f>
        <v>0</v>
      </c>
      <c r="G14" s="29">
        <f>кр!F26</f>
        <v>0</v>
      </c>
      <c r="H14" s="29">
        <f>кр!G26</f>
        <v>0</v>
      </c>
      <c r="I14" s="29">
        <f>кр!H26</f>
        <v>0</v>
      </c>
      <c r="J14" s="29">
        <f>кр!I26</f>
        <v>0</v>
      </c>
      <c r="K14" s="29">
        <f>кр!J26</f>
        <v>0</v>
      </c>
      <c r="L14" s="29">
        <f>кр!K26</f>
        <v>0</v>
      </c>
      <c r="M14" s="29">
        <f>кр!L26</f>
        <v>0</v>
      </c>
      <c r="N14" s="29">
        <f>кр!M26</f>
        <v>0</v>
      </c>
      <c r="O14" s="29">
        <f>кр!N26</f>
        <v>0</v>
      </c>
      <c r="P14" s="27">
        <f>SUM(D14:O14)</f>
        <v>0</v>
      </c>
      <c r="Q14" s="29">
        <f>кр!P26</f>
        <v>0</v>
      </c>
      <c r="R14" s="29">
        <f>кр!Q26</f>
        <v>0</v>
      </c>
      <c r="S14" s="29">
        <f>кр!R26</f>
        <v>0</v>
      </c>
      <c r="T14" s="29">
        <f>кр!S26</f>
        <v>0</v>
      </c>
      <c r="U14" s="29">
        <f>кр!T26</f>
        <v>0</v>
      </c>
      <c r="V14" s="29">
        <f>кр!U26</f>
        <v>432.1127233675001</v>
      </c>
      <c r="W14" s="29">
        <f>кр!V26</f>
        <v>554.1921855961557</v>
      </c>
      <c r="X14" s="29">
        <f>кр!W26</f>
        <v>1153.2353935887793</v>
      </c>
      <c r="Y14" s="29">
        <f>кр!X26</f>
        <v>1510.9711209954012</v>
      </c>
      <c r="Z14" s="29">
        <f>кр!Y26</f>
        <v>1494.4730241332422</v>
      </c>
      <c r="AA14" s="29">
        <f>кр!Z26</f>
        <v>1477.8786883727205</v>
      </c>
      <c r="AB14" s="29">
        <f>кр!AA26</f>
        <v>1461.1875523202625</v>
      </c>
      <c r="AC14" s="27">
        <f>SUM(Q14:AB14)</f>
        <v>8084.050688374062</v>
      </c>
      <c r="AD14" s="29">
        <f>кр!AC26</f>
        <v>1444.3990513074984</v>
      </c>
      <c r="AE14" s="29">
        <f>кр!AD26</f>
        <v>1427.5126173721599</v>
      </c>
      <c r="AF14" s="29">
        <f>кр!AE26</f>
        <v>1410.5276792388654</v>
      </c>
      <c r="AG14" s="29">
        <f>кр!AF26</f>
        <v>1393.443662299793</v>
      </c>
      <c r="AH14" s="29">
        <f>кр!AG26</f>
        <v>1376.2599885952432</v>
      </c>
      <c r="AI14" s="29">
        <f>кр!AH26</f>
        <v>1358.976076794083</v>
      </c>
      <c r="AJ14" s="29">
        <f>кр!AI26</f>
        <v>1341.591342174083</v>
      </c>
      <c r="AK14" s="29">
        <f>кр!AJ26</f>
        <v>1324.1051966021328</v>
      </c>
      <c r="AL14" s="29">
        <f>кр!AK26</f>
        <v>1306.5170485143462</v>
      </c>
      <c r="AM14" s="29">
        <f>кр!AL26</f>
        <v>1288.826302896048</v>
      </c>
      <c r="AN14" s="29">
        <f>кр!AM26</f>
        <v>1271.0323612616426</v>
      </c>
      <c r="AO14" s="29">
        <f>кр!AN26</f>
        <v>1253.13462163437</v>
      </c>
      <c r="AP14" s="27">
        <f>SUM(AD14:AO14)</f>
        <v>16196.325948690266</v>
      </c>
      <c r="AQ14" s="34">
        <f>кр!BB26</f>
        <v>13602.97209722404</v>
      </c>
      <c r="AR14" s="34">
        <f>кр!BO26</f>
        <v>10822.144486146492</v>
      </c>
      <c r="AS14" s="34">
        <f>кр!CB26</f>
        <v>7840.290622216894</v>
      </c>
      <c r="AT14" s="34">
        <f>кр!CO26</f>
        <v>4642.878301362349</v>
      </c>
      <c r="AU14" s="34">
        <f>кр!DB26</f>
        <v>1273.5376984011498</v>
      </c>
    </row>
    <row r="15" spans="1:47" ht="14.25" customHeight="1">
      <c r="A15" s="28" t="s">
        <v>211</v>
      </c>
      <c r="B15" s="27">
        <f>P15+AC15+AP15+AQ15+AR15+AS15+AT15+AU15</f>
        <v>247524.3875760641</v>
      </c>
      <c r="C15" s="27"/>
      <c r="D15" s="29">
        <f>'2-ф2'!D14</f>
        <v>0</v>
      </c>
      <c r="E15" s="29">
        <f>'2-ф2'!E14</f>
        <v>0</v>
      </c>
      <c r="F15" s="29">
        <f>'2-ф2'!F14</f>
        <v>0</v>
      </c>
      <c r="G15" s="29">
        <f>'2-ф2'!G14</f>
        <v>0</v>
      </c>
      <c r="H15" s="29">
        <f>'2-ф2'!H14</f>
        <v>0</v>
      </c>
      <c r="I15" s="29">
        <f>'2-ф2'!I14</f>
        <v>0</v>
      </c>
      <c r="J15" s="29">
        <f>'2-ф2'!J14</f>
        <v>0</v>
      </c>
      <c r="K15" s="29">
        <f>'2-ф2'!K14</f>
        <v>0</v>
      </c>
      <c r="L15" s="29">
        <f>'2-ф2'!L14</f>
        <v>0</v>
      </c>
      <c r="M15" s="29">
        <f>'2-ф2'!M14</f>
        <v>0</v>
      </c>
      <c r="N15" s="29">
        <f>'2-ф2'!N14</f>
        <v>0</v>
      </c>
      <c r="O15" s="29">
        <f>'2-ф2'!O14</f>
        <v>0</v>
      </c>
      <c r="P15" s="27">
        <f>SUM(D15:O15)</f>
        <v>0</v>
      </c>
      <c r="Q15" s="29">
        <f>'2-ф2'!Q14</f>
        <v>0</v>
      </c>
      <c r="R15" s="29">
        <f>'2-ф2'!R14</f>
        <v>0</v>
      </c>
      <c r="S15" s="29">
        <f>'2-ф2'!S14</f>
        <v>0</v>
      </c>
      <c r="T15" s="29">
        <f>'2-ф2'!T14</f>
        <v>0</v>
      </c>
      <c r="U15" s="29">
        <f>'2-ф2'!U14</f>
        <v>0</v>
      </c>
      <c r="V15" s="29">
        <f>'2-ф2'!V14</f>
        <v>744.4276368223706</v>
      </c>
      <c r="W15" s="29">
        <f>'2-ф2'!W14</f>
        <v>3219.8644885787844</v>
      </c>
      <c r="X15" s="29">
        <f>'2-ф2'!X14</f>
        <v>2616.228033896877</v>
      </c>
      <c r="Y15" s="29">
        <f>'2-ф2'!Y14</f>
        <v>1750.0994768951105</v>
      </c>
      <c r="Z15" s="29">
        <f>'2-ф2'!Z14</f>
        <v>1088.067949508227</v>
      </c>
      <c r="AA15" s="29">
        <f>'2-ф2'!AA14</f>
        <v>-239.27547685829697</v>
      </c>
      <c r="AB15" s="29">
        <f>'2-ф2'!AB14</f>
        <v>-901.2683964071196</v>
      </c>
      <c r="AC15" s="27">
        <f>SUM(Q15:AB15)</f>
        <v>8278.143712435955</v>
      </c>
      <c r="AD15" s="29">
        <f>'2-ф2'!AD14</f>
        <v>-641.3409920618806</v>
      </c>
      <c r="AE15" s="29">
        <f>'2-ф2'!AE14</f>
        <v>849.4352526246154</v>
      </c>
      <c r="AF15" s="29">
        <f>'2-ф2'!AF14</f>
        <v>1348.631892884418</v>
      </c>
      <c r="AG15" s="29">
        <f>'2-ф2'!AG14</f>
        <v>2343.648001538518</v>
      </c>
      <c r="AH15" s="29">
        <f>'2-ф2'!AH14</f>
        <v>3834.4836941788562</v>
      </c>
      <c r="AI15" s="29">
        <f>'2-ф2'!AI14</f>
        <v>5325.33943443852</v>
      </c>
      <c r="AJ15" s="29">
        <f>'2-ф2'!AJ14</f>
        <v>6320.415686628805</v>
      </c>
      <c r="AK15" s="29">
        <f>'2-ф2'!AK14</f>
        <v>5332.31361047691</v>
      </c>
      <c r="AL15" s="29">
        <f>'2-ф2'!AL14</f>
        <v>3352.6326295618924</v>
      </c>
      <c r="AM15" s="29">
        <f>'2-ф2'!AM14</f>
        <v>2364.5714734192675</v>
      </c>
      <c r="AN15" s="29">
        <f>'2-ф2'!AN14</f>
        <v>384.9316512135767</v>
      </c>
      <c r="AO15" s="29">
        <f>'2-ф2'!AO14</f>
        <v>-603.0881061272548</v>
      </c>
      <c r="AP15" s="27">
        <f>SUM(AD15:AO15)</f>
        <v>30211.974228776242</v>
      </c>
      <c r="AQ15" s="29">
        <f>'2-ф2'!AQ14</f>
        <v>34271.84513175376</v>
      </c>
      <c r="AR15" s="29">
        <f>'2-ф2'!AR14</f>
        <v>38028.37491971976</v>
      </c>
      <c r="AS15" s="29">
        <f>'2-ф2'!AS14</f>
        <v>41796.31638229173</v>
      </c>
      <c r="AT15" s="29">
        <f>'2-ф2'!AT14</f>
        <v>45577.136281485946</v>
      </c>
      <c r="AU15" s="29">
        <f>'2-ф2'!AU14</f>
        <v>49360.596919600684</v>
      </c>
    </row>
    <row r="16" spans="1:47" ht="12.75">
      <c r="A16" s="28" t="s">
        <v>34</v>
      </c>
      <c r="B16" s="27">
        <f>P16+AC16+AP16+AQ16+AR16+AS16+AT16+AU16</f>
        <v>177821.14950291347</v>
      </c>
      <c r="C16" s="27"/>
      <c r="D16" s="29">
        <f>'2-ф2'!D27</f>
        <v>0</v>
      </c>
      <c r="E16" s="29">
        <f>'2-ф2'!E27</f>
        <v>0</v>
      </c>
      <c r="F16" s="29">
        <f>'2-ф2'!F27</f>
        <v>0</v>
      </c>
      <c r="G16" s="29">
        <f>'2-ф2'!G27</f>
        <v>0</v>
      </c>
      <c r="H16" s="29">
        <f>'2-ф2'!H27</f>
        <v>0</v>
      </c>
      <c r="I16" s="29">
        <f>'2-ф2'!I27</f>
        <v>0</v>
      </c>
      <c r="J16" s="29">
        <f>'2-ф2'!J27</f>
        <v>0</v>
      </c>
      <c r="K16" s="29">
        <f>'2-ф2'!K27</f>
        <v>0</v>
      </c>
      <c r="L16" s="29">
        <f>'2-ф2'!L27</f>
        <v>0</v>
      </c>
      <c r="M16" s="29">
        <f>'2-ф2'!M27</f>
        <v>0</v>
      </c>
      <c r="N16" s="29">
        <f>'2-ф2'!N27</f>
        <v>0</v>
      </c>
      <c r="O16" s="29">
        <f>'2-ф2'!O27</f>
        <v>0</v>
      </c>
      <c r="P16" s="27">
        <f>SUM(D16:O16)</f>
        <v>0</v>
      </c>
      <c r="Q16" s="29">
        <f>'2-ф2'!Q27</f>
        <v>0</v>
      </c>
      <c r="R16" s="29">
        <f>'2-ф2'!R27</f>
        <v>0</v>
      </c>
      <c r="S16" s="29">
        <f>'2-ф2'!S27</f>
        <v>0</v>
      </c>
      <c r="T16" s="29">
        <f>'2-ф2'!T27</f>
        <v>0</v>
      </c>
      <c r="U16" s="29">
        <f>'2-ф2'!U27</f>
        <v>0</v>
      </c>
      <c r="V16" s="29">
        <f>'2-ф2'!V27</f>
        <v>0</v>
      </c>
      <c r="W16" s="29">
        <f>'2-ф2'!W27</f>
        <v>0</v>
      </c>
      <c r="X16" s="29">
        <f>'2-ф2'!X27</f>
        <v>0</v>
      </c>
      <c r="Y16" s="29">
        <f>'2-ф2'!Y27</f>
        <v>0</v>
      </c>
      <c r="Z16" s="29">
        <f>'2-ф2'!Z27</f>
        <v>0</v>
      </c>
      <c r="AA16" s="29">
        <f>'2-ф2'!AA27</f>
        <v>0</v>
      </c>
      <c r="AB16" s="29">
        <f>'2-ф2'!AB27</f>
        <v>0</v>
      </c>
      <c r="AC16" s="27">
        <f>SUM(Q16:AB16)</f>
        <v>0</v>
      </c>
      <c r="AD16" s="29">
        <f>'2-ф2'!AD27</f>
        <v>0</v>
      </c>
      <c r="AE16" s="29">
        <f>'2-ф2'!AE27</f>
        <v>0</v>
      </c>
      <c r="AF16" s="29">
        <f>'2-ф2'!AF27</f>
        <v>0</v>
      </c>
      <c r="AG16" s="29">
        <f>'2-ф2'!AG27</f>
        <v>0</v>
      </c>
      <c r="AH16" s="29">
        <f>'2-ф2'!AH27</f>
        <v>0</v>
      </c>
      <c r="AI16" s="29">
        <f>'2-ф2'!AI27</f>
        <v>0</v>
      </c>
      <c r="AJ16" s="29">
        <f>'2-ф2'!AJ27</f>
        <v>0</v>
      </c>
      <c r="AK16" s="29">
        <f>'2-ф2'!AK27</f>
        <v>3981.0434153645992</v>
      </c>
      <c r="AL16" s="29">
        <f>'2-ф2'!AL27</f>
        <v>3977.75549284743</v>
      </c>
      <c r="AM16" s="29">
        <f>'2-ф2'!AM27</f>
        <v>1968.95549284743</v>
      </c>
      <c r="AN16" s="29">
        <f>'2-ф2'!AN27</f>
        <v>-2048.64450715257</v>
      </c>
      <c r="AO16" s="29">
        <f>'2-ф2'!AO27</f>
        <v>-4513.522060971998</v>
      </c>
      <c r="AP16" s="27">
        <f>SUM(AD16:AO16)</f>
        <v>3365.5878329348907</v>
      </c>
      <c r="AQ16" s="29">
        <f>'2-ф2'!AQ27</f>
        <v>30493.452894336006</v>
      </c>
      <c r="AR16" s="29">
        <f>'2-ф2'!AR27</f>
        <v>32695.098512502853</v>
      </c>
      <c r="AS16" s="29">
        <f>'2-ф2'!AS27</f>
        <v>34893.99758266972</v>
      </c>
      <c r="AT16" s="29">
        <f>'2-ф2'!AT27</f>
        <v>37090.01277743657</v>
      </c>
      <c r="AU16" s="29">
        <f>'2-ф2'!AU27</f>
        <v>39282.99990303343</v>
      </c>
    </row>
    <row r="17" spans="1:47" s="21" customFormat="1" ht="25.5">
      <c r="A17" s="35" t="s">
        <v>19</v>
      </c>
      <c r="B17" s="18">
        <f>B9-B11</f>
        <v>1057897.2343994463</v>
      </c>
      <c r="C17" s="18"/>
      <c r="D17" s="18">
        <f aca="true" t="shared" si="8" ref="D17:AU17">D9-D11</f>
        <v>0</v>
      </c>
      <c r="E17" s="18">
        <f t="shared" si="8"/>
        <v>0</v>
      </c>
      <c r="F17" s="18">
        <f t="shared" si="8"/>
        <v>0</v>
      </c>
      <c r="G17" s="18">
        <f t="shared" si="8"/>
        <v>0</v>
      </c>
      <c r="H17" s="18">
        <f t="shared" si="8"/>
        <v>0</v>
      </c>
      <c r="I17" s="18">
        <f t="shared" si="8"/>
        <v>0</v>
      </c>
      <c r="J17" s="18">
        <f t="shared" si="8"/>
        <v>0</v>
      </c>
      <c r="K17" s="18">
        <f t="shared" si="8"/>
        <v>0</v>
      </c>
      <c r="L17" s="18">
        <f t="shared" si="8"/>
        <v>0</v>
      </c>
      <c r="M17" s="18">
        <f t="shared" si="8"/>
        <v>0</v>
      </c>
      <c r="N17" s="18">
        <f t="shared" si="8"/>
        <v>0</v>
      </c>
      <c r="O17" s="18">
        <f t="shared" si="8"/>
        <v>-51080.68602777599</v>
      </c>
      <c r="P17" s="18">
        <f t="shared" si="8"/>
        <v>-51080.68602777599</v>
      </c>
      <c r="Q17" s="18">
        <f t="shared" si="8"/>
        <v>-30381.834507685613</v>
      </c>
      <c r="R17" s="18">
        <f t="shared" si="8"/>
        <v>-30381.834507685613</v>
      </c>
      <c r="S17" s="18">
        <f t="shared" si="8"/>
        <v>-4446.942343333612</v>
      </c>
      <c r="T17" s="18">
        <f t="shared" si="8"/>
        <v>1360.2058210183823</v>
      </c>
      <c r="U17" s="18">
        <f t="shared" si="8"/>
        <v>12199.289985370386</v>
      </c>
      <c r="V17" s="18">
        <f t="shared" si="8"/>
        <v>34924.445625180524</v>
      </c>
      <c r="W17" s="18">
        <f t="shared" si="8"/>
        <v>43648.78531119544</v>
      </c>
      <c r="X17" s="18">
        <f t="shared" si="8"/>
        <v>32331.52255788474</v>
      </c>
      <c r="Y17" s="18">
        <f t="shared" si="8"/>
        <v>12229.39955183187</v>
      </c>
      <c r="Z17" s="18">
        <f t="shared" si="8"/>
        <v>328.0891760809027</v>
      </c>
      <c r="AA17" s="18">
        <f t="shared" si="8"/>
        <v>-23487.653061792047</v>
      </c>
      <c r="AB17" s="18">
        <f t="shared" si="8"/>
        <v>-39645.532841838765</v>
      </c>
      <c r="AC17" s="18">
        <f t="shared" si="8"/>
        <v>8677.940766226558</v>
      </c>
      <c r="AD17" s="18">
        <f t="shared" si="8"/>
        <v>-38345.546044140654</v>
      </c>
      <c r="AE17" s="18">
        <f t="shared" si="8"/>
        <v>-11696.235854891806</v>
      </c>
      <c r="AF17" s="18">
        <f t="shared" si="8"/>
        <v>-7060.771392666327</v>
      </c>
      <c r="AG17" s="18">
        <f t="shared" si="8"/>
        <v>10710.09651561865</v>
      </c>
      <c r="AH17" s="18">
        <f t="shared" si="8"/>
        <v>37359.64449668286</v>
      </c>
      <c r="AI17" s="18">
        <f t="shared" si="8"/>
        <v>64009.27266822438</v>
      </c>
      <c r="AJ17" s="18">
        <f t="shared" si="8"/>
        <v>81780.38115065408</v>
      </c>
      <c r="AK17" s="18">
        <f t="shared" si="8"/>
        <v>60056.12595701334</v>
      </c>
      <c r="AL17" s="18">
        <f t="shared" si="8"/>
        <v>24559.0830085333</v>
      </c>
      <c r="AM17" s="18">
        <f t="shared" si="8"/>
        <v>8824.834910294216</v>
      </c>
      <c r="AN17" s="18">
        <f t="shared" si="8"/>
        <v>-22657.731325865694</v>
      </c>
      <c r="AO17" s="18">
        <f t="shared" si="8"/>
        <v>-42192.460110726155</v>
      </c>
      <c r="AP17" s="18">
        <f t="shared" si="8"/>
        <v>165346.69397873</v>
      </c>
      <c r="AQ17" s="18">
        <f t="shared" si="8"/>
        <v>156850.62195558648</v>
      </c>
      <c r="AR17" s="18">
        <f t="shared" si="8"/>
        <v>171876.74110745045</v>
      </c>
      <c r="AS17" s="18">
        <f t="shared" si="8"/>
        <v>186948.5069577383</v>
      </c>
      <c r="AT17" s="18">
        <f t="shared" si="8"/>
        <v>202071.78655451513</v>
      </c>
      <c r="AU17" s="18">
        <f t="shared" si="8"/>
        <v>217205.629106974</v>
      </c>
    </row>
    <row r="18" spans="1:47" s="21" customFormat="1" ht="12.75">
      <c r="A18" s="22" t="s">
        <v>20</v>
      </c>
      <c r="B18" s="23"/>
      <c r="C18" s="23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36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36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36"/>
      <c r="AQ18" s="36"/>
      <c r="AR18" s="36"/>
      <c r="AS18" s="36"/>
      <c r="AT18" s="36"/>
      <c r="AU18" s="36"/>
    </row>
    <row r="19" spans="1:47" s="21" customFormat="1" ht="12.75">
      <c r="A19" s="26" t="s">
        <v>6</v>
      </c>
      <c r="B19" s="27"/>
      <c r="C19" s="2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2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27"/>
      <c r="AQ19" s="27"/>
      <c r="AR19" s="27"/>
      <c r="AS19" s="27"/>
      <c r="AT19" s="27"/>
      <c r="AU19" s="27"/>
    </row>
    <row r="20" spans="1:47" s="21" customFormat="1" ht="12.75">
      <c r="A20" s="26" t="s">
        <v>7</v>
      </c>
      <c r="B20" s="27">
        <f>SUM(B21:B22)</f>
        <v>249861.304</v>
      </c>
      <c r="C20" s="27"/>
      <c r="D20" s="27">
        <f aca="true" t="shared" si="9" ref="D20:AB20">SUM(D21:D22)</f>
        <v>0</v>
      </c>
      <c r="E20" s="27">
        <f t="shared" si="9"/>
        <v>0</v>
      </c>
      <c r="F20" s="27">
        <f t="shared" si="9"/>
        <v>0</v>
      </c>
      <c r="G20" s="27">
        <f t="shared" si="9"/>
        <v>0</v>
      </c>
      <c r="H20" s="27">
        <f>SUM(H21:H22)</f>
        <v>0</v>
      </c>
      <c r="I20" s="27">
        <f t="shared" si="9"/>
        <v>0</v>
      </c>
      <c r="J20" s="27">
        <f t="shared" si="9"/>
        <v>0</v>
      </c>
      <c r="K20" s="27">
        <f t="shared" si="9"/>
        <v>70381.4412</v>
      </c>
      <c r="L20" s="27">
        <f t="shared" si="9"/>
        <v>20634.75</v>
      </c>
      <c r="M20" s="27">
        <f t="shared" si="9"/>
        <v>98545.902</v>
      </c>
      <c r="N20" s="27">
        <f t="shared" si="9"/>
        <v>20634.75</v>
      </c>
      <c r="O20" s="27">
        <f t="shared" si="9"/>
        <v>39664.4608</v>
      </c>
      <c r="P20" s="27">
        <f t="shared" si="9"/>
        <v>249861.304</v>
      </c>
      <c r="Q20" s="27">
        <f t="shared" si="9"/>
        <v>0</v>
      </c>
      <c r="R20" s="27">
        <f t="shared" si="9"/>
        <v>0</v>
      </c>
      <c r="S20" s="27">
        <f t="shared" si="9"/>
        <v>0</v>
      </c>
      <c r="T20" s="27">
        <f t="shared" si="9"/>
        <v>0</v>
      </c>
      <c r="U20" s="27">
        <f t="shared" si="9"/>
        <v>0</v>
      </c>
      <c r="V20" s="27">
        <f t="shared" si="9"/>
        <v>0</v>
      </c>
      <c r="W20" s="27">
        <f t="shared" si="9"/>
        <v>0</v>
      </c>
      <c r="X20" s="27">
        <f t="shared" si="9"/>
        <v>0</v>
      </c>
      <c r="Y20" s="27">
        <f t="shared" si="9"/>
        <v>0</v>
      </c>
      <c r="Z20" s="27">
        <f t="shared" si="9"/>
        <v>0</v>
      </c>
      <c r="AA20" s="27">
        <f t="shared" si="9"/>
        <v>0</v>
      </c>
      <c r="AB20" s="27">
        <f t="shared" si="9"/>
        <v>0</v>
      </c>
      <c r="AC20" s="27">
        <f>SUM(AC21:AC22)</f>
        <v>0</v>
      </c>
      <c r="AD20" s="27">
        <f aca="true" t="shared" si="10" ref="AD20:AP20">SUM(AD21:AD22)</f>
        <v>0</v>
      </c>
      <c r="AE20" s="27">
        <f t="shared" si="10"/>
        <v>0</v>
      </c>
      <c r="AF20" s="27">
        <f t="shared" si="10"/>
        <v>0</v>
      </c>
      <c r="AG20" s="27">
        <f t="shared" si="10"/>
        <v>0</v>
      </c>
      <c r="AH20" s="27">
        <f t="shared" si="10"/>
        <v>0</v>
      </c>
      <c r="AI20" s="27">
        <f t="shared" si="10"/>
        <v>0</v>
      </c>
      <c r="AJ20" s="27">
        <f t="shared" si="10"/>
        <v>0</v>
      </c>
      <c r="AK20" s="27">
        <f t="shared" si="10"/>
        <v>0</v>
      </c>
      <c r="AL20" s="27">
        <f t="shared" si="10"/>
        <v>0</v>
      </c>
      <c r="AM20" s="27">
        <f t="shared" si="10"/>
        <v>0</v>
      </c>
      <c r="AN20" s="27">
        <f t="shared" si="10"/>
        <v>0</v>
      </c>
      <c r="AO20" s="27">
        <f t="shared" si="10"/>
        <v>0</v>
      </c>
      <c r="AP20" s="27">
        <f t="shared" si="10"/>
        <v>0</v>
      </c>
      <c r="AQ20" s="27">
        <f>SUM(AQ21:AQ22)</f>
        <v>0</v>
      </c>
      <c r="AR20" s="27">
        <f>SUM(AR21:AR22)</f>
        <v>0</v>
      </c>
      <c r="AS20" s="27">
        <f>SUM(AS21:AS22)</f>
        <v>0</v>
      </c>
      <c r="AT20" s="27">
        <f>SUM(AT21:AT22)</f>
        <v>0</v>
      </c>
      <c r="AU20" s="27">
        <f>SUM(AU21:AU22)</f>
        <v>0</v>
      </c>
    </row>
    <row r="21" spans="1:47" ht="12.75">
      <c r="A21" s="38" t="s">
        <v>21</v>
      </c>
      <c r="B21" s="27">
        <f>P21+AC21+AP21+AQ21+AR21+AS21+AT21+AU21</f>
        <v>249861.304</v>
      </c>
      <c r="C21" s="27"/>
      <c r="D21" s="29">
        <f>Инв!E15</f>
        <v>0</v>
      </c>
      <c r="E21" s="29">
        <f>Инв!F15</f>
        <v>0</v>
      </c>
      <c r="F21" s="29">
        <f>Инв!G15</f>
        <v>0</v>
      </c>
      <c r="G21" s="29">
        <f>Инв!H15</f>
        <v>0</v>
      </c>
      <c r="H21" s="29">
        <f>Инв!I15</f>
        <v>0</v>
      </c>
      <c r="I21" s="29">
        <f>Инв!J15</f>
        <v>0</v>
      </c>
      <c r="J21" s="29">
        <f>Инв!K15</f>
        <v>0</v>
      </c>
      <c r="K21" s="29">
        <f>Инв!L15</f>
        <v>70381.4412</v>
      </c>
      <c r="L21" s="29">
        <f>Инв!M15</f>
        <v>20634.75</v>
      </c>
      <c r="M21" s="29">
        <f>Инв!N15</f>
        <v>98545.902</v>
      </c>
      <c r="N21" s="29">
        <f>Инв!O15</f>
        <v>20634.75</v>
      </c>
      <c r="O21" s="29">
        <f>Инв!P15</f>
        <v>39664.4608</v>
      </c>
      <c r="P21" s="27">
        <f>SUM(D21:O21)</f>
        <v>249861.304</v>
      </c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7">
        <f>SUM(Q21:AB21)</f>
        <v>0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7">
        <f>SUM(AD21:AO21)</f>
        <v>0</v>
      </c>
      <c r="AQ21" s="27"/>
      <c r="AR21" s="27"/>
      <c r="AS21" s="27"/>
      <c r="AT21" s="27"/>
      <c r="AU21" s="27"/>
    </row>
    <row r="22" spans="1:47" ht="12.75" outlineLevel="1">
      <c r="A22" s="38"/>
      <c r="B22" s="27">
        <f>P22+AC22+AP22+AQ22+AR22+AS22+AT22+AU22</f>
        <v>0</v>
      </c>
      <c r="C22" s="27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7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7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7"/>
      <c r="AQ22" s="27"/>
      <c r="AR22" s="27"/>
      <c r="AS22" s="27"/>
      <c r="AT22" s="27"/>
      <c r="AU22" s="27"/>
    </row>
    <row r="23" spans="1:47" s="21" customFormat="1" ht="25.5">
      <c r="A23" s="39" t="s">
        <v>22</v>
      </c>
      <c r="B23" s="18">
        <f>B19-B20</f>
        <v>-249861.304</v>
      </c>
      <c r="C23" s="18"/>
      <c r="D23" s="18">
        <f>D19-D20</f>
        <v>0</v>
      </c>
      <c r="E23" s="18">
        <f aca="true" t="shared" si="11" ref="E23:AB23">E19-E20</f>
        <v>0</v>
      </c>
      <c r="F23" s="18">
        <f t="shared" si="11"/>
        <v>0</v>
      </c>
      <c r="G23" s="18">
        <f t="shared" si="11"/>
        <v>0</v>
      </c>
      <c r="H23" s="18">
        <f t="shared" si="11"/>
        <v>0</v>
      </c>
      <c r="I23" s="18">
        <f t="shared" si="11"/>
        <v>0</v>
      </c>
      <c r="J23" s="18">
        <f>J19-J20</f>
        <v>0</v>
      </c>
      <c r="K23" s="18">
        <f t="shared" si="11"/>
        <v>-70381.4412</v>
      </c>
      <c r="L23" s="18">
        <f t="shared" si="11"/>
        <v>-20634.75</v>
      </c>
      <c r="M23" s="18">
        <f t="shared" si="11"/>
        <v>-98545.902</v>
      </c>
      <c r="N23" s="18">
        <f t="shared" si="11"/>
        <v>-20634.75</v>
      </c>
      <c r="O23" s="18">
        <f t="shared" si="11"/>
        <v>-39664.4608</v>
      </c>
      <c r="P23" s="18">
        <f>SUM(D23:O23)</f>
        <v>-249861.304</v>
      </c>
      <c r="Q23" s="18">
        <f t="shared" si="11"/>
        <v>0</v>
      </c>
      <c r="R23" s="18">
        <f t="shared" si="11"/>
        <v>0</v>
      </c>
      <c r="S23" s="18">
        <f t="shared" si="11"/>
        <v>0</v>
      </c>
      <c r="T23" s="18">
        <f t="shared" si="11"/>
        <v>0</v>
      </c>
      <c r="U23" s="18">
        <f t="shared" si="11"/>
        <v>0</v>
      </c>
      <c r="V23" s="18">
        <f t="shared" si="11"/>
        <v>0</v>
      </c>
      <c r="W23" s="18">
        <f t="shared" si="11"/>
        <v>0</v>
      </c>
      <c r="X23" s="18">
        <f t="shared" si="11"/>
        <v>0</v>
      </c>
      <c r="Y23" s="18">
        <f t="shared" si="11"/>
        <v>0</v>
      </c>
      <c r="Z23" s="18">
        <f t="shared" si="11"/>
        <v>0</v>
      </c>
      <c r="AA23" s="18">
        <f t="shared" si="11"/>
        <v>0</v>
      </c>
      <c r="AB23" s="18">
        <f t="shared" si="11"/>
        <v>0</v>
      </c>
      <c r="AC23" s="18">
        <f>SUM(Q23:AB23)</f>
        <v>0</v>
      </c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>
        <f>SUM(AD23:AO23)</f>
        <v>0</v>
      </c>
      <c r="AQ23" s="18"/>
      <c r="AR23" s="18"/>
      <c r="AS23" s="18"/>
      <c r="AT23" s="18"/>
      <c r="AU23" s="18"/>
    </row>
    <row r="24" spans="1:47" s="43" customFormat="1" ht="12.75">
      <c r="A24" s="40" t="s">
        <v>23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2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42"/>
      <c r="AR24" s="42"/>
      <c r="AS24" s="42"/>
      <c r="AT24" s="42"/>
      <c r="AU24" s="42"/>
    </row>
    <row r="25" spans="1:47" s="21" customFormat="1" ht="12.75">
      <c r="A25" s="22" t="s">
        <v>24</v>
      </c>
      <c r="B25" s="23"/>
      <c r="C25" s="2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6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36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36"/>
      <c r="AQ25" s="36"/>
      <c r="AR25" s="36"/>
      <c r="AS25" s="36"/>
      <c r="AT25" s="36"/>
      <c r="AU25" s="36"/>
    </row>
    <row r="26" spans="1:47" s="21" customFormat="1" ht="12.75">
      <c r="A26" s="26" t="s">
        <v>6</v>
      </c>
      <c r="B26" s="27">
        <f>SUM(B27:B28)</f>
        <v>374152.60138648085</v>
      </c>
      <c r="C26" s="27"/>
      <c r="D26" s="27">
        <f>SUM(D27:D28)</f>
        <v>0</v>
      </c>
      <c r="E26" s="27">
        <f aca="true" t="shared" si="12" ref="E26:O26">SUM(E27:E28)</f>
        <v>0</v>
      </c>
      <c r="F26" s="27">
        <f t="shared" si="12"/>
        <v>0</v>
      </c>
      <c r="G26" s="27">
        <f t="shared" si="12"/>
        <v>0</v>
      </c>
      <c r="H26" s="27">
        <f t="shared" si="12"/>
        <v>0</v>
      </c>
      <c r="I26" s="27">
        <f t="shared" si="12"/>
        <v>0</v>
      </c>
      <c r="J26" s="27">
        <f t="shared" si="12"/>
        <v>0</v>
      </c>
      <c r="K26" s="27">
        <f t="shared" si="12"/>
        <v>70381.4412</v>
      </c>
      <c r="L26" s="27">
        <f t="shared" si="12"/>
        <v>20634.75</v>
      </c>
      <c r="M26" s="27">
        <f t="shared" si="12"/>
        <v>98545.902</v>
      </c>
      <c r="N26" s="27">
        <f t="shared" si="12"/>
        <v>60299.2108</v>
      </c>
      <c r="O26" s="27">
        <f t="shared" si="12"/>
        <v>51080.68602777599</v>
      </c>
      <c r="P26" s="27">
        <f aca="true" t="shared" si="13" ref="P26:AB26">SUM(P27:P28)</f>
        <v>300941.990027776</v>
      </c>
      <c r="Q26" s="27">
        <f t="shared" si="13"/>
        <v>30381.834507685613</v>
      </c>
      <c r="R26" s="27">
        <f t="shared" si="13"/>
        <v>30381.834507685613</v>
      </c>
      <c r="S26" s="27">
        <f t="shared" si="13"/>
        <v>12446.942343333612</v>
      </c>
      <c r="T26" s="27">
        <f t="shared" si="13"/>
        <v>0</v>
      </c>
      <c r="U26" s="27">
        <f t="shared" si="13"/>
        <v>0</v>
      </c>
      <c r="V26" s="27">
        <f t="shared" si="13"/>
        <v>0</v>
      </c>
      <c r="W26" s="27">
        <f t="shared" si="13"/>
        <v>0</v>
      </c>
      <c r="X26" s="27">
        <f t="shared" si="13"/>
        <v>0</v>
      </c>
      <c r="Y26" s="27">
        <f t="shared" si="13"/>
        <v>0</v>
      </c>
      <c r="Z26" s="27">
        <f t="shared" si="13"/>
        <v>0</v>
      </c>
      <c r="AA26" s="27">
        <f t="shared" si="13"/>
        <v>0</v>
      </c>
      <c r="AB26" s="27">
        <f t="shared" si="13"/>
        <v>0</v>
      </c>
      <c r="AC26" s="27">
        <f>SUM(AC27:AC28)</f>
        <v>73210.61135870483</v>
      </c>
      <c r="AD26" s="27">
        <f aca="true" t="shared" si="14" ref="AD26:AP26">SUM(AD27:AD28)</f>
        <v>0</v>
      </c>
      <c r="AE26" s="27">
        <f t="shared" si="14"/>
        <v>0</v>
      </c>
      <c r="AF26" s="27">
        <f t="shared" si="14"/>
        <v>0</v>
      </c>
      <c r="AG26" s="27">
        <f t="shared" si="14"/>
        <v>0</v>
      </c>
      <c r="AH26" s="27">
        <f t="shared" si="14"/>
        <v>0</v>
      </c>
      <c r="AI26" s="27">
        <f t="shared" si="14"/>
        <v>0</v>
      </c>
      <c r="AJ26" s="27">
        <f t="shared" si="14"/>
        <v>0</v>
      </c>
      <c r="AK26" s="27">
        <f t="shared" si="14"/>
        <v>0</v>
      </c>
      <c r="AL26" s="27">
        <f t="shared" si="14"/>
        <v>0</v>
      </c>
      <c r="AM26" s="27">
        <f t="shared" si="14"/>
        <v>0</v>
      </c>
      <c r="AN26" s="27">
        <f t="shared" si="14"/>
        <v>0</v>
      </c>
      <c r="AO26" s="27">
        <f t="shared" si="14"/>
        <v>0</v>
      </c>
      <c r="AP26" s="27">
        <f t="shared" si="14"/>
        <v>0</v>
      </c>
      <c r="AQ26" s="27">
        <f>SUM(AQ27:AQ28)</f>
        <v>0</v>
      </c>
      <c r="AR26" s="27">
        <f>SUM(AR27:AR28)</f>
        <v>0</v>
      </c>
      <c r="AS26" s="27">
        <f>SUM(AS27:AS28)</f>
        <v>0</v>
      </c>
      <c r="AT26" s="27">
        <f>SUM(AT27:AT28)</f>
        <v>0</v>
      </c>
      <c r="AU26" s="27">
        <f>SUM(AU27:AU28)</f>
        <v>0</v>
      </c>
    </row>
    <row r="27" spans="1:47" ht="12.75" customHeight="1">
      <c r="A27" s="38" t="s">
        <v>56</v>
      </c>
      <c r="B27" s="27">
        <f>P27+AC27+AP27+AQ27+AR27+AS27+AT27+AU27</f>
        <v>124291.29738648082</v>
      </c>
      <c r="C27" s="27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>
        <f>N12+N13</f>
        <v>0</v>
      </c>
      <c r="O27" s="29">
        <f>O12+O13</f>
        <v>51080.68602777599</v>
      </c>
      <c r="P27" s="27">
        <f>SUM(D27:O27)</f>
        <v>51080.68602777599</v>
      </c>
      <c r="Q27" s="29">
        <f>Q12+Q13</f>
        <v>30381.834507685613</v>
      </c>
      <c r="R27" s="29">
        <f>R12+R13</f>
        <v>30381.834507685613</v>
      </c>
      <c r="S27" s="33">
        <f>S12+S13-S10+8000</f>
        <v>12446.942343333612</v>
      </c>
      <c r="T27" s="29"/>
      <c r="U27" s="29"/>
      <c r="V27" s="29"/>
      <c r="W27" s="29"/>
      <c r="X27" s="29"/>
      <c r="Y27" s="29"/>
      <c r="Z27" s="29"/>
      <c r="AA27" s="29"/>
      <c r="AB27" s="29"/>
      <c r="AC27" s="27">
        <f>SUM(Q27:AB27)</f>
        <v>73210.61135870483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7">
        <f>SUM(AD27:AO27)</f>
        <v>0</v>
      </c>
      <c r="AQ27" s="27"/>
      <c r="AR27" s="27"/>
      <c r="AS27" s="27"/>
      <c r="AT27" s="27"/>
      <c r="AU27" s="27"/>
    </row>
    <row r="28" spans="1:47" ht="12.75">
      <c r="A28" s="44" t="s">
        <v>160</v>
      </c>
      <c r="B28" s="27">
        <f>P28+AC28+AP28+AQ28+AR28+AS28+AT28+AU28</f>
        <v>249861.304</v>
      </c>
      <c r="C28" s="27"/>
      <c r="D28" s="29"/>
      <c r="E28" s="29"/>
      <c r="F28" s="29"/>
      <c r="G28" s="29"/>
      <c r="H28" s="29"/>
      <c r="I28" s="29"/>
      <c r="J28" s="29"/>
      <c r="K28" s="29">
        <f>K20</f>
        <v>70381.4412</v>
      </c>
      <c r="L28" s="29">
        <f>L20</f>
        <v>20634.75</v>
      </c>
      <c r="M28" s="29">
        <f>M20</f>
        <v>98545.902</v>
      </c>
      <c r="N28" s="29">
        <f>N20+O20</f>
        <v>60299.2108</v>
      </c>
      <c r="O28" s="29"/>
      <c r="P28" s="27">
        <f>SUM(D28:O28)</f>
        <v>249861.304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7">
        <f>SUM(Q28:AB28)</f>
        <v>0</v>
      </c>
      <c r="AD28" s="29"/>
      <c r="AE28" s="29"/>
      <c r="AF28" s="29"/>
      <c r="AG28" s="29"/>
      <c r="AH28" s="29"/>
      <c r="AI28" s="29"/>
      <c r="AJ28" s="45"/>
      <c r="AK28" s="45"/>
      <c r="AL28" s="45"/>
      <c r="AM28" s="45"/>
      <c r="AN28" s="45"/>
      <c r="AO28" s="45"/>
      <c r="AP28" s="27">
        <f>SUM(AD28:AO28)</f>
        <v>0</v>
      </c>
      <c r="AQ28" s="27"/>
      <c r="AR28" s="27"/>
      <c r="AS28" s="27"/>
      <c r="AT28" s="27"/>
      <c r="AU28" s="27"/>
    </row>
    <row r="29" spans="1:47" s="21" customFormat="1" ht="12.75">
      <c r="A29" s="26" t="s">
        <v>7</v>
      </c>
      <c r="B29" s="27">
        <f>SUM(B30:B31)</f>
        <v>262979.022459999</v>
      </c>
      <c r="C29" s="27"/>
      <c r="D29" s="27">
        <f>SUM(D30:D31)</f>
        <v>0</v>
      </c>
      <c r="E29" s="27">
        <f aca="true" t="shared" si="15" ref="E29:AR29">SUM(E30:E31)</f>
        <v>0</v>
      </c>
      <c r="F29" s="27">
        <f t="shared" si="15"/>
        <v>0</v>
      </c>
      <c r="G29" s="27">
        <f t="shared" si="15"/>
        <v>0</v>
      </c>
      <c r="H29" s="27">
        <f t="shared" si="15"/>
        <v>0</v>
      </c>
      <c r="I29" s="27">
        <f>SUM(I30:I31)</f>
        <v>0</v>
      </c>
      <c r="J29" s="27">
        <f t="shared" si="15"/>
        <v>0</v>
      </c>
      <c r="K29" s="27">
        <f t="shared" si="15"/>
        <v>0</v>
      </c>
      <c r="L29" s="27">
        <f t="shared" si="15"/>
        <v>0</v>
      </c>
      <c r="M29" s="27">
        <f t="shared" si="15"/>
        <v>0</v>
      </c>
      <c r="N29" s="27">
        <f t="shared" si="15"/>
        <v>0</v>
      </c>
      <c r="O29" s="27">
        <f t="shared" si="15"/>
        <v>0</v>
      </c>
      <c r="P29" s="27">
        <f t="shared" si="15"/>
        <v>0</v>
      </c>
      <c r="Q29" s="27">
        <f t="shared" si="15"/>
        <v>0</v>
      </c>
      <c r="R29" s="27">
        <f t="shared" si="15"/>
        <v>0</v>
      </c>
      <c r="S29" s="27">
        <f t="shared" si="15"/>
        <v>0</v>
      </c>
      <c r="T29" s="27">
        <f t="shared" si="15"/>
        <v>0</v>
      </c>
      <c r="U29" s="27">
        <f t="shared" si="15"/>
        <v>0</v>
      </c>
      <c r="V29" s="27">
        <f t="shared" si="15"/>
        <v>790.1665643733231</v>
      </c>
      <c r="W29" s="27">
        <f t="shared" si="15"/>
        <v>1026.4404848359834</v>
      </c>
      <c r="X29" s="27">
        <f t="shared" si="15"/>
        <v>2138.7946687219587</v>
      </c>
      <c r="Y29" s="27">
        <f t="shared" si="15"/>
        <v>2828.2451763701224</v>
      </c>
      <c r="Z29" s="27">
        <f t="shared" si="15"/>
        <v>2844.7432732322814</v>
      </c>
      <c r="AA29" s="27">
        <f t="shared" si="15"/>
        <v>2861.3376089928033</v>
      </c>
      <c r="AB29" s="27">
        <f t="shared" si="15"/>
        <v>2878.0287450452606</v>
      </c>
      <c r="AC29" s="27">
        <f>SUM(AC30:AC31)</f>
        <v>15367.756521571733</v>
      </c>
      <c r="AD29" s="27">
        <f aca="true" t="shared" si="16" ref="AD29:AP29">SUM(AD30:AD31)</f>
        <v>2894.8172460580245</v>
      </c>
      <c r="AE29" s="27">
        <f t="shared" si="16"/>
        <v>2911.703679993363</v>
      </c>
      <c r="AF29" s="27">
        <f t="shared" si="16"/>
        <v>2928.688618126658</v>
      </c>
      <c r="AG29" s="27">
        <f t="shared" si="16"/>
        <v>2945.7726350657304</v>
      </c>
      <c r="AH29" s="27">
        <f t="shared" si="16"/>
        <v>2962.95630877028</v>
      </c>
      <c r="AI29" s="27">
        <f t="shared" si="16"/>
        <v>2980.24022057144</v>
      </c>
      <c r="AJ29" s="27">
        <f t="shared" si="16"/>
        <v>2997.6249551914407</v>
      </c>
      <c r="AK29" s="27">
        <f t="shared" si="16"/>
        <v>3015.111100763391</v>
      </c>
      <c r="AL29" s="27">
        <f t="shared" si="16"/>
        <v>3032.6992488511773</v>
      </c>
      <c r="AM29" s="27">
        <f t="shared" si="16"/>
        <v>3050.389994469476</v>
      </c>
      <c r="AN29" s="27">
        <f t="shared" si="16"/>
        <v>3068.183936103881</v>
      </c>
      <c r="AO29" s="27">
        <f t="shared" si="16"/>
        <v>3086.0816757311536</v>
      </c>
      <c r="AP29" s="27">
        <f t="shared" si="16"/>
        <v>35874.26961969602</v>
      </c>
      <c r="AQ29" s="27">
        <f t="shared" si="15"/>
        <v>38467.62347116224</v>
      </c>
      <c r="AR29" s="27">
        <f t="shared" si="15"/>
        <v>41248.45108223979</v>
      </c>
      <c r="AS29" s="27">
        <f>SUM(AS30:AS31)</f>
        <v>44230.30494616939</v>
      </c>
      <c r="AT29" s="27">
        <f>SUM(AT30:AT31)</f>
        <v>47427.71726702394</v>
      </c>
      <c r="AU29" s="27">
        <f>SUM(AU30:AU31)</f>
        <v>40362.89955213592</v>
      </c>
    </row>
    <row r="30" spans="1:47" ht="12.75">
      <c r="A30" s="28" t="s">
        <v>33</v>
      </c>
      <c r="B30" s="27">
        <f>P30+AC30+AP30+AQ30+AR30+AS30+AT30+AU30</f>
        <v>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27">
        <f>SUM(D30:O30)</f>
        <v>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27">
        <f>SUM(Q30:AB30)</f>
        <v>0</v>
      </c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27">
        <f>SUM(AD30:AO30)</f>
        <v>0</v>
      </c>
      <c r="AQ30" s="27"/>
      <c r="AR30" s="27"/>
      <c r="AS30" s="27"/>
      <c r="AT30" s="27"/>
      <c r="AU30" s="27"/>
    </row>
    <row r="31" spans="1:47" ht="13.5" customHeight="1">
      <c r="A31" s="38" t="s">
        <v>159</v>
      </c>
      <c r="B31" s="27">
        <f>P31+AC31+AP31+AQ31+AR31+AS31+AT31+AU31</f>
        <v>262979.022459999</v>
      </c>
      <c r="C31" s="27"/>
      <c r="D31" s="34">
        <f>кр!C25</f>
        <v>0</v>
      </c>
      <c r="E31" s="34">
        <f>кр!D25</f>
        <v>0</v>
      </c>
      <c r="F31" s="34">
        <f>кр!E25</f>
        <v>0</v>
      </c>
      <c r="G31" s="34">
        <f>кр!F25</f>
        <v>0</v>
      </c>
      <c r="H31" s="34">
        <f>кр!G25</f>
        <v>0</v>
      </c>
      <c r="I31" s="34">
        <f>кр!H25</f>
        <v>0</v>
      </c>
      <c r="J31" s="34">
        <f>кр!I25</f>
        <v>0</v>
      </c>
      <c r="K31" s="34">
        <f>кр!J25</f>
        <v>0</v>
      </c>
      <c r="L31" s="34">
        <f>кр!K25</f>
        <v>0</v>
      </c>
      <c r="M31" s="34">
        <f>кр!L25</f>
        <v>0</v>
      </c>
      <c r="N31" s="34">
        <f>кр!M25</f>
        <v>0</v>
      </c>
      <c r="O31" s="34">
        <f>кр!N25</f>
        <v>0</v>
      </c>
      <c r="P31" s="27">
        <f>SUM(D31:O31)</f>
        <v>0</v>
      </c>
      <c r="Q31" s="34">
        <f>кр!P25</f>
        <v>0</v>
      </c>
      <c r="R31" s="34">
        <f>кр!Q25</f>
        <v>0</v>
      </c>
      <c r="S31" s="34">
        <f>кр!R25</f>
        <v>0</v>
      </c>
      <c r="T31" s="34">
        <f>кр!S25</f>
        <v>0</v>
      </c>
      <c r="U31" s="34">
        <f>кр!T25</f>
        <v>0</v>
      </c>
      <c r="V31" s="34">
        <f>кр!U25</f>
        <v>790.1665643733231</v>
      </c>
      <c r="W31" s="34">
        <f>кр!V25</f>
        <v>1026.4404848359834</v>
      </c>
      <c r="X31" s="34">
        <f>кр!W25</f>
        <v>2138.7946687219587</v>
      </c>
      <c r="Y31" s="34">
        <f>кр!X25</f>
        <v>2828.2451763701224</v>
      </c>
      <c r="Z31" s="34">
        <f>кр!Y25</f>
        <v>2844.7432732322814</v>
      </c>
      <c r="AA31" s="34">
        <f>кр!Z25</f>
        <v>2861.3376089928033</v>
      </c>
      <c r="AB31" s="34">
        <f>кр!AA25</f>
        <v>2878.0287450452606</v>
      </c>
      <c r="AC31" s="27">
        <f>SUM(Q31:AB31)</f>
        <v>15367.756521571733</v>
      </c>
      <c r="AD31" s="34">
        <f>кр!AC25</f>
        <v>2894.8172460580245</v>
      </c>
      <c r="AE31" s="34">
        <f>кр!AD25</f>
        <v>2911.703679993363</v>
      </c>
      <c r="AF31" s="34">
        <f>кр!AE25</f>
        <v>2928.688618126658</v>
      </c>
      <c r="AG31" s="34">
        <f>кр!AF25</f>
        <v>2945.7726350657304</v>
      </c>
      <c r="AH31" s="34">
        <f>кр!AG25</f>
        <v>2962.95630877028</v>
      </c>
      <c r="AI31" s="34">
        <f>кр!AH25</f>
        <v>2980.24022057144</v>
      </c>
      <c r="AJ31" s="34">
        <f>кр!AI25</f>
        <v>2997.6249551914407</v>
      </c>
      <c r="AK31" s="34">
        <f>кр!AJ25</f>
        <v>3015.111100763391</v>
      </c>
      <c r="AL31" s="34">
        <f>кр!AK25</f>
        <v>3032.6992488511773</v>
      </c>
      <c r="AM31" s="34">
        <f>кр!AL25</f>
        <v>3050.389994469476</v>
      </c>
      <c r="AN31" s="34">
        <f>кр!AM25</f>
        <v>3068.183936103881</v>
      </c>
      <c r="AO31" s="34">
        <f>кр!AN25</f>
        <v>3086.0816757311536</v>
      </c>
      <c r="AP31" s="27">
        <f>SUM(AD31:AO31)</f>
        <v>35874.26961969602</v>
      </c>
      <c r="AQ31" s="34">
        <f>кр!BB25</f>
        <v>38467.62347116224</v>
      </c>
      <c r="AR31" s="34">
        <f>кр!BO25</f>
        <v>41248.45108223979</v>
      </c>
      <c r="AS31" s="34">
        <f>кр!CB25</f>
        <v>44230.30494616939</v>
      </c>
      <c r="AT31" s="34">
        <f>кр!CO25</f>
        <v>47427.71726702394</v>
      </c>
      <c r="AU31" s="34">
        <f>кр!DB25</f>
        <v>40362.89955213592</v>
      </c>
    </row>
    <row r="32" spans="1:47" s="21" customFormat="1" ht="12.75">
      <c r="A32" s="39" t="s">
        <v>25</v>
      </c>
      <c r="B32" s="18">
        <f>B26-B29</f>
        <v>111173.57892648183</v>
      </c>
      <c r="C32" s="18"/>
      <c r="D32" s="18">
        <f>D26-D29</f>
        <v>0</v>
      </c>
      <c r="E32" s="18">
        <f aca="true" t="shared" si="17" ref="E32:AR32">E26-E29</f>
        <v>0</v>
      </c>
      <c r="F32" s="18">
        <f t="shared" si="17"/>
        <v>0</v>
      </c>
      <c r="G32" s="18">
        <f t="shared" si="17"/>
        <v>0</v>
      </c>
      <c r="H32" s="18">
        <f t="shared" si="17"/>
        <v>0</v>
      </c>
      <c r="I32" s="18">
        <f t="shared" si="17"/>
        <v>0</v>
      </c>
      <c r="J32" s="18">
        <f t="shared" si="17"/>
        <v>0</v>
      </c>
      <c r="K32" s="18">
        <f t="shared" si="17"/>
        <v>70381.4412</v>
      </c>
      <c r="L32" s="18">
        <f t="shared" si="17"/>
        <v>20634.75</v>
      </c>
      <c r="M32" s="18">
        <f t="shared" si="17"/>
        <v>98545.902</v>
      </c>
      <c r="N32" s="18">
        <f t="shared" si="17"/>
        <v>60299.2108</v>
      </c>
      <c r="O32" s="18">
        <f t="shared" si="17"/>
        <v>51080.68602777599</v>
      </c>
      <c r="P32" s="18">
        <f t="shared" si="17"/>
        <v>300941.990027776</v>
      </c>
      <c r="Q32" s="18">
        <f t="shared" si="17"/>
        <v>30381.834507685613</v>
      </c>
      <c r="R32" s="18">
        <f t="shared" si="17"/>
        <v>30381.834507685613</v>
      </c>
      <c r="S32" s="18">
        <f t="shared" si="17"/>
        <v>12446.942343333612</v>
      </c>
      <c r="T32" s="18">
        <f t="shared" si="17"/>
        <v>0</v>
      </c>
      <c r="U32" s="18">
        <f t="shared" si="17"/>
        <v>0</v>
      </c>
      <c r="V32" s="18">
        <f t="shared" si="17"/>
        <v>-790.1665643733231</v>
      </c>
      <c r="W32" s="18">
        <f t="shared" si="17"/>
        <v>-1026.4404848359834</v>
      </c>
      <c r="X32" s="18">
        <f t="shared" si="17"/>
        <v>-2138.7946687219587</v>
      </c>
      <c r="Y32" s="18">
        <f t="shared" si="17"/>
        <v>-2828.2451763701224</v>
      </c>
      <c r="Z32" s="18">
        <f t="shared" si="17"/>
        <v>-2844.7432732322814</v>
      </c>
      <c r="AA32" s="18">
        <f t="shared" si="17"/>
        <v>-2861.3376089928033</v>
      </c>
      <c r="AB32" s="18">
        <f t="shared" si="17"/>
        <v>-2878.0287450452606</v>
      </c>
      <c r="AC32" s="18">
        <f>AC26-AC29</f>
        <v>57842.8548371331</v>
      </c>
      <c r="AD32" s="18">
        <f aca="true" t="shared" si="18" ref="AD32:AP32">AD26-AD29</f>
        <v>-2894.8172460580245</v>
      </c>
      <c r="AE32" s="18">
        <f t="shared" si="18"/>
        <v>-2911.703679993363</v>
      </c>
      <c r="AF32" s="18">
        <f t="shared" si="18"/>
        <v>-2928.688618126658</v>
      </c>
      <c r="AG32" s="18">
        <f t="shared" si="18"/>
        <v>-2945.7726350657304</v>
      </c>
      <c r="AH32" s="18">
        <f t="shared" si="18"/>
        <v>-2962.95630877028</v>
      </c>
      <c r="AI32" s="18">
        <f t="shared" si="18"/>
        <v>-2980.24022057144</v>
      </c>
      <c r="AJ32" s="18">
        <f t="shared" si="18"/>
        <v>-2997.6249551914407</v>
      </c>
      <c r="AK32" s="18">
        <f t="shared" si="18"/>
        <v>-3015.111100763391</v>
      </c>
      <c r="AL32" s="18">
        <f t="shared" si="18"/>
        <v>-3032.6992488511773</v>
      </c>
      <c r="AM32" s="18">
        <f t="shared" si="18"/>
        <v>-3050.389994469476</v>
      </c>
      <c r="AN32" s="18">
        <f t="shared" si="18"/>
        <v>-3068.183936103881</v>
      </c>
      <c r="AO32" s="18">
        <f t="shared" si="18"/>
        <v>-3086.0816757311536</v>
      </c>
      <c r="AP32" s="18">
        <f t="shared" si="18"/>
        <v>-35874.26961969602</v>
      </c>
      <c r="AQ32" s="18">
        <f t="shared" si="17"/>
        <v>-38467.62347116224</v>
      </c>
      <c r="AR32" s="18">
        <f t="shared" si="17"/>
        <v>-41248.45108223979</v>
      </c>
      <c r="AS32" s="18">
        <f>AS26-AS29</f>
        <v>-44230.30494616939</v>
      </c>
      <c r="AT32" s="18">
        <f>AT26-AT29</f>
        <v>-47427.71726702394</v>
      </c>
      <c r="AU32" s="18">
        <f>AU26-AU29</f>
        <v>-40362.89955213592</v>
      </c>
    </row>
    <row r="33" spans="1:47" s="48" customFormat="1" ht="12.75">
      <c r="A33" s="46" t="s">
        <v>26</v>
      </c>
      <c r="B33" s="47">
        <f>B17+B23+B32</f>
        <v>919209.509325928</v>
      </c>
      <c r="C33" s="27"/>
      <c r="D33" s="47">
        <f>D17+D23+D32</f>
        <v>0</v>
      </c>
      <c r="E33" s="47">
        <f aca="true" t="shared" si="19" ref="E33:AR33">E17+E23+E32</f>
        <v>0</v>
      </c>
      <c r="F33" s="47">
        <f t="shared" si="19"/>
        <v>0</v>
      </c>
      <c r="G33" s="47">
        <f t="shared" si="19"/>
        <v>0</v>
      </c>
      <c r="H33" s="47">
        <f t="shared" si="19"/>
        <v>0</v>
      </c>
      <c r="I33" s="47">
        <f t="shared" si="19"/>
        <v>0</v>
      </c>
      <c r="J33" s="47">
        <f t="shared" si="19"/>
        <v>0</v>
      </c>
      <c r="K33" s="47">
        <f t="shared" si="19"/>
        <v>0</v>
      </c>
      <c r="L33" s="47">
        <f t="shared" si="19"/>
        <v>0</v>
      </c>
      <c r="M33" s="47">
        <f t="shared" si="19"/>
        <v>0</v>
      </c>
      <c r="N33" s="47">
        <f t="shared" si="19"/>
        <v>39664.4608</v>
      </c>
      <c r="O33" s="47">
        <f t="shared" si="19"/>
        <v>-39664.46079999999</v>
      </c>
      <c r="P33" s="47">
        <f t="shared" si="19"/>
        <v>0</v>
      </c>
      <c r="Q33" s="47">
        <f t="shared" si="19"/>
        <v>0</v>
      </c>
      <c r="R33" s="47">
        <f t="shared" si="19"/>
        <v>0</v>
      </c>
      <c r="S33" s="47">
        <f t="shared" si="19"/>
        <v>8000</v>
      </c>
      <c r="T33" s="47">
        <f t="shared" si="19"/>
        <v>1360.2058210183823</v>
      </c>
      <c r="U33" s="47">
        <f t="shared" si="19"/>
        <v>12199.289985370386</v>
      </c>
      <c r="V33" s="47">
        <f t="shared" si="19"/>
        <v>34134.2790608072</v>
      </c>
      <c r="W33" s="47">
        <f t="shared" si="19"/>
        <v>42622.344826359455</v>
      </c>
      <c r="X33" s="47">
        <f t="shared" si="19"/>
        <v>30192.72788916278</v>
      </c>
      <c r="Y33" s="47">
        <f t="shared" si="19"/>
        <v>9401.154375461747</v>
      </c>
      <c r="Z33" s="47">
        <f t="shared" si="19"/>
        <v>-2516.6540971513787</v>
      </c>
      <c r="AA33" s="47">
        <f t="shared" si="19"/>
        <v>-26348.99067078485</v>
      </c>
      <c r="AB33" s="47">
        <f t="shared" si="19"/>
        <v>-42523.561586884025</v>
      </c>
      <c r="AC33" s="47">
        <f>AC17+AC23+AC32</f>
        <v>66520.79560335966</v>
      </c>
      <c r="AD33" s="47">
        <f aca="true" t="shared" si="20" ref="AD33:AP33">AD17+AD23+AD32</f>
        <v>-41240.36329019868</v>
      </c>
      <c r="AE33" s="47">
        <f t="shared" si="20"/>
        <v>-14607.939534885169</v>
      </c>
      <c r="AF33" s="47">
        <f t="shared" si="20"/>
        <v>-9989.460010792985</v>
      </c>
      <c r="AG33" s="47">
        <f t="shared" si="20"/>
        <v>7764.32388055292</v>
      </c>
      <c r="AH33" s="47">
        <f t="shared" si="20"/>
        <v>34396.68818791258</v>
      </c>
      <c r="AI33" s="47">
        <f t="shared" si="20"/>
        <v>61029.03244765294</v>
      </c>
      <c r="AJ33" s="47">
        <f t="shared" si="20"/>
        <v>78782.75619546264</v>
      </c>
      <c r="AK33" s="47">
        <f t="shared" si="20"/>
        <v>57041.01485624995</v>
      </c>
      <c r="AL33" s="47">
        <f t="shared" si="20"/>
        <v>21526.38375968212</v>
      </c>
      <c r="AM33" s="47">
        <f t="shared" si="20"/>
        <v>5774.44491582474</v>
      </c>
      <c r="AN33" s="47">
        <f t="shared" si="20"/>
        <v>-25725.915261969574</v>
      </c>
      <c r="AO33" s="47">
        <f t="shared" si="20"/>
        <v>-45278.54178645731</v>
      </c>
      <c r="AP33" s="47">
        <f t="shared" si="20"/>
        <v>129472.42435903399</v>
      </c>
      <c r="AQ33" s="47">
        <f t="shared" si="19"/>
        <v>118382.99848442424</v>
      </c>
      <c r="AR33" s="47">
        <f t="shared" si="19"/>
        <v>130628.29002521065</v>
      </c>
      <c r="AS33" s="47">
        <f>AS17+AS23+AS32</f>
        <v>142718.20201156894</v>
      </c>
      <c r="AT33" s="47">
        <f>AT17+AT23+AT32</f>
        <v>154644.0692874912</v>
      </c>
      <c r="AU33" s="47">
        <f>AU17+AU23+AU32</f>
        <v>176842.7295548381</v>
      </c>
    </row>
    <row r="34" spans="1:55" s="21" customFormat="1" ht="12.75">
      <c r="A34" s="49" t="s">
        <v>55</v>
      </c>
      <c r="B34" s="27">
        <f>B7+B17+B23+B32</f>
        <v>919209.509325928</v>
      </c>
      <c r="C34" s="50"/>
      <c r="D34" s="51">
        <f aca="true" t="shared" si="21" ref="D34:O34">D7+D17+D23+D32</f>
        <v>0</v>
      </c>
      <c r="E34" s="51">
        <f t="shared" si="21"/>
        <v>0</v>
      </c>
      <c r="F34" s="51">
        <f t="shared" si="21"/>
        <v>0</v>
      </c>
      <c r="G34" s="51">
        <f t="shared" si="21"/>
        <v>0</v>
      </c>
      <c r="H34" s="51">
        <f t="shared" si="21"/>
        <v>0</v>
      </c>
      <c r="I34" s="51">
        <f t="shared" si="21"/>
        <v>0</v>
      </c>
      <c r="J34" s="51">
        <f t="shared" si="21"/>
        <v>0</v>
      </c>
      <c r="K34" s="51">
        <f t="shared" si="21"/>
        <v>0</v>
      </c>
      <c r="L34" s="51">
        <f t="shared" si="21"/>
        <v>0</v>
      </c>
      <c r="M34" s="51">
        <f t="shared" si="21"/>
        <v>0</v>
      </c>
      <c r="N34" s="51">
        <f t="shared" si="21"/>
        <v>39664.4608</v>
      </c>
      <c r="O34" s="51">
        <f t="shared" si="21"/>
        <v>0</v>
      </c>
      <c r="P34" s="52">
        <f>O34</f>
        <v>0</v>
      </c>
      <c r="Q34" s="51">
        <f>P34+Q17+Q23+Q32</f>
        <v>0</v>
      </c>
      <c r="R34" s="51">
        <f aca="true" t="shared" si="22" ref="R34:AB34">Q34+R17+R23+R32</f>
        <v>0</v>
      </c>
      <c r="S34" s="51">
        <f t="shared" si="22"/>
        <v>8000</v>
      </c>
      <c r="T34" s="51">
        <f t="shared" si="22"/>
        <v>9360.205821018382</v>
      </c>
      <c r="U34" s="51">
        <f t="shared" si="22"/>
        <v>21559.495806388768</v>
      </c>
      <c r="V34" s="51">
        <f t="shared" si="22"/>
        <v>55693.77486719597</v>
      </c>
      <c r="W34" s="51">
        <f t="shared" si="22"/>
        <v>98316.11969355542</v>
      </c>
      <c r="X34" s="51">
        <f t="shared" si="22"/>
        <v>128508.8475827182</v>
      </c>
      <c r="Y34" s="51">
        <f t="shared" si="22"/>
        <v>137910.00195817996</v>
      </c>
      <c r="Z34" s="51">
        <f t="shared" si="22"/>
        <v>135393.3478610286</v>
      </c>
      <c r="AA34" s="51">
        <f t="shared" si="22"/>
        <v>109044.35719024374</v>
      </c>
      <c r="AB34" s="51">
        <f t="shared" si="22"/>
        <v>66520.79560335971</v>
      </c>
      <c r="AC34" s="52">
        <f>AB34</f>
        <v>66520.79560335971</v>
      </c>
      <c r="AD34" s="51">
        <f aca="true" t="shared" si="23" ref="AD34:AO34">AC34+AD17+AD23+AD32</f>
        <v>25280.432313161036</v>
      </c>
      <c r="AE34" s="51">
        <f t="shared" si="23"/>
        <v>10672.492778275868</v>
      </c>
      <c r="AF34" s="51">
        <f t="shared" si="23"/>
        <v>683.0327674828823</v>
      </c>
      <c r="AG34" s="51">
        <f t="shared" si="23"/>
        <v>8447.356648035802</v>
      </c>
      <c r="AH34" s="51">
        <f t="shared" si="23"/>
        <v>42844.04483594838</v>
      </c>
      <c r="AI34" s="51">
        <f t="shared" si="23"/>
        <v>103873.07728360132</v>
      </c>
      <c r="AJ34" s="51">
        <f t="shared" si="23"/>
        <v>182655.83347906393</v>
      </c>
      <c r="AK34" s="51">
        <f t="shared" si="23"/>
        <v>239696.84833531387</v>
      </c>
      <c r="AL34" s="51">
        <f t="shared" si="23"/>
        <v>261223.232094996</v>
      </c>
      <c r="AM34" s="51">
        <f t="shared" si="23"/>
        <v>266997.6770108207</v>
      </c>
      <c r="AN34" s="51">
        <f t="shared" si="23"/>
        <v>241271.76174885113</v>
      </c>
      <c r="AO34" s="51">
        <f t="shared" si="23"/>
        <v>195993.21996239384</v>
      </c>
      <c r="AP34" s="52">
        <f>AO34</f>
        <v>195993.21996239384</v>
      </c>
      <c r="AQ34" s="51">
        <f>AP34+AQ17+AQ23+AQ32</f>
        <v>314376.2184468181</v>
      </c>
      <c r="AR34" s="51">
        <f>AQ34+AR17+AR23+AR32</f>
        <v>445004.50847202877</v>
      </c>
      <c r="AS34" s="51">
        <f>AR34+AS17+AS23+AS32</f>
        <v>587722.7104835977</v>
      </c>
      <c r="AT34" s="51">
        <f>AS34+AT17+AT23+AT32</f>
        <v>742366.7797710889</v>
      </c>
      <c r="AU34" s="51">
        <f>AT34+AU17+AU23+AU32</f>
        <v>919209.5093259269</v>
      </c>
      <c r="AV34" s="7">
        <v>2013</v>
      </c>
      <c r="AW34" s="7">
        <f aca="true" t="shared" si="24" ref="AW34:AZ35">AV34+1</f>
        <v>2014</v>
      </c>
      <c r="AX34" s="7">
        <f t="shared" si="24"/>
        <v>2015</v>
      </c>
      <c r="AY34" s="7">
        <f t="shared" si="24"/>
        <v>2016</v>
      </c>
      <c r="AZ34" s="7">
        <f t="shared" si="24"/>
        <v>2017</v>
      </c>
      <c r="BA34" s="7">
        <f aca="true" t="shared" si="25" ref="BA34:BC35">AZ34+1</f>
        <v>2018</v>
      </c>
      <c r="BB34" s="7">
        <f t="shared" si="25"/>
        <v>2019</v>
      </c>
      <c r="BC34" s="7">
        <f t="shared" si="25"/>
        <v>2020</v>
      </c>
    </row>
    <row r="35" spans="1:55" ht="12.75">
      <c r="A35" s="53"/>
      <c r="B35" s="54">
        <f>AU34</f>
        <v>919209.5093259269</v>
      </c>
      <c r="C35" s="55"/>
      <c r="D35" s="56">
        <f aca="true" t="shared" si="26" ref="D35:N35">D7+D33-D34</f>
        <v>0</v>
      </c>
      <c r="E35" s="56">
        <f t="shared" si="26"/>
        <v>0</v>
      </c>
      <c r="F35" s="56">
        <f t="shared" si="26"/>
        <v>0</v>
      </c>
      <c r="G35" s="56">
        <f t="shared" si="26"/>
        <v>0</v>
      </c>
      <c r="H35" s="56">
        <f t="shared" si="26"/>
        <v>0</v>
      </c>
      <c r="I35" s="56">
        <f t="shared" si="26"/>
        <v>0</v>
      </c>
      <c r="J35" s="56">
        <f t="shared" si="26"/>
        <v>0</v>
      </c>
      <c r="K35" s="56">
        <f t="shared" si="26"/>
        <v>0</v>
      </c>
      <c r="L35" s="56">
        <f t="shared" si="26"/>
        <v>0</v>
      </c>
      <c r="M35" s="56">
        <f t="shared" si="26"/>
        <v>0</v>
      </c>
      <c r="N35" s="56">
        <f t="shared" si="26"/>
        <v>0</v>
      </c>
      <c r="O35" s="56"/>
      <c r="P35" s="56"/>
      <c r="Q35" s="56">
        <f>Q7+Q33-Q34</f>
        <v>0</v>
      </c>
      <c r="R35" s="56">
        <f>R7+R33-R34</f>
        <v>0</v>
      </c>
      <c r="S35" s="56"/>
      <c r="T35" s="56">
        <f>T7+T33-T34</f>
        <v>0</v>
      </c>
      <c r="U35" s="56">
        <f>U7+U33-U34</f>
        <v>0</v>
      </c>
      <c r="V35" s="56">
        <f>V7+V33-V34</f>
        <v>0</v>
      </c>
      <c r="W35" s="56"/>
      <c r="X35" s="56">
        <f>X7+X33-X34</f>
        <v>0</v>
      </c>
      <c r="Y35" s="56">
        <f>Y7+Y33-Y34</f>
        <v>0</v>
      </c>
      <c r="Z35" s="56">
        <f>Z7+Z33-Z34</f>
        <v>0</v>
      </c>
      <c r="AA35" s="56">
        <f>AA7+AA33-AA34</f>
        <v>0</v>
      </c>
      <c r="AB35" s="56">
        <f>AB7+AB33-AB34</f>
        <v>0</v>
      </c>
      <c r="AC35" s="56"/>
      <c r="AD35" s="56">
        <f aca="true" t="shared" si="27" ref="AD35:AO35">AD7+AD33-AD34</f>
        <v>0</v>
      </c>
      <c r="AE35" s="56">
        <f t="shared" si="27"/>
        <v>0</v>
      </c>
      <c r="AF35" s="56">
        <f t="shared" si="27"/>
        <v>0</v>
      </c>
      <c r="AG35" s="56">
        <f t="shared" si="27"/>
        <v>0</v>
      </c>
      <c r="AH35" s="56">
        <f t="shared" si="27"/>
        <v>0</v>
      </c>
      <c r="AI35" s="56">
        <f t="shared" si="27"/>
        <v>0</v>
      </c>
      <c r="AJ35" s="56">
        <f t="shared" si="27"/>
        <v>0</v>
      </c>
      <c r="AK35" s="56">
        <f t="shared" si="27"/>
        <v>0</v>
      </c>
      <c r="AL35" s="56">
        <f t="shared" si="27"/>
        <v>0</v>
      </c>
      <c r="AM35" s="56">
        <f t="shared" si="27"/>
        <v>0</v>
      </c>
      <c r="AN35" s="56">
        <f t="shared" si="27"/>
        <v>0</v>
      </c>
      <c r="AO35" s="56">
        <f t="shared" si="27"/>
        <v>0</v>
      </c>
      <c r="AP35" s="56"/>
      <c r="AQ35" s="56">
        <f>AQ7+AQ33-AQ34</f>
        <v>0</v>
      </c>
      <c r="AR35" s="56">
        <f>AR7+AR33-AR34</f>
        <v>0</v>
      </c>
      <c r="AS35" s="56">
        <f>AS7+AS33-AS34</f>
        <v>0</v>
      </c>
      <c r="AT35" s="56">
        <f>AT7+AT33-AT34</f>
        <v>0</v>
      </c>
      <c r="AU35" s="56">
        <f>AU7+AU33-AU34</f>
        <v>0</v>
      </c>
      <c r="AV35" s="63">
        <v>0</v>
      </c>
      <c r="AW35" s="63">
        <f>AV35+1</f>
        <v>1</v>
      </c>
      <c r="AX35" s="63">
        <f t="shared" si="24"/>
        <v>2</v>
      </c>
      <c r="AY35" s="63">
        <f t="shared" si="24"/>
        <v>3</v>
      </c>
      <c r="AZ35" s="63">
        <f t="shared" si="24"/>
        <v>4</v>
      </c>
      <c r="BA35" s="63">
        <f t="shared" si="25"/>
        <v>5</v>
      </c>
      <c r="BB35" s="63">
        <f t="shared" si="25"/>
        <v>6</v>
      </c>
      <c r="BC35" s="63">
        <f t="shared" si="25"/>
        <v>7</v>
      </c>
    </row>
    <row r="36" spans="1:55" ht="12.75">
      <c r="A36" s="53" t="s">
        <v>61</v>
      </c>
      <c r="B36" s="64">
        <f>B34-B35</f>
        <v>1.1641532182693481E-09</v>
      </c>
      <c r="C36" s="55"/>
      <c r="Q36" s="58"/>
      <c r="AD36" s="58"/>
      <c r="AV36" s="58">
        <f>P33</f>
        <v>0</v>
      </c>
      <c r="AW36" s="58">
        <f>AC33</f>
        <v>66520.79560335966</v>
      </c>
      <c r="AX36" s="58">
        <f aca="true" t="shared" si="28" ref="AX36:BC36">AP33</f>
        <v>129472.42435903399</v>
      </c>
      <c r="AY36" s="58">
        <f t="shared" si="28"/>
        <v>118382.99848442424</v>
      </c>
      <c r="AZ36" s="58">
        <f t="shared" si="28"/>
        <v>130628.29002521065</v>
      </c>
      <c r="BA36" s="58">
        <f t="shared" si="28"/>
        <v>142718.20201156894</v>
      </c>
      <c r="BB36" s="58">
        <f t="shared" si="28"/>
        <v>154644.0692874912</v>
      </c>
      <c r="BC36" s="58">
        <f t="shared" si="28"/>
        <v>176842.7295548381</v>
      </c>
    </row>
    <row r="37" spans="1:55" ht="12.75">
      <c r="A37" s="53" t="s">
        <v>62</v>
      </c>
      <c r="B37" s="55"/>
      <c r="C37" s="55"/>
      <c r="AV37" s="58">
        <f>AV36+P31+P30+P14</f>
        <v>0</v>
      </c>
      <c r="AW37" s="58">
        <f>AW36+AC31+AC30+AC14</f>
        <v>89972.60281330545</v>
      </c>
      <c r="AX37" s="58">
        <f aca="true" t="shared" si="29" ref="AX37:BC37">AX36+AP31+AP30+AP14</f>
        <v>181543.01992742028</v>
      </c>
      <c r="AY37" s="58">
        <f t="shared" si="29"/>
        <v>170453.5940528105</v>
      </c>
      <c r="AZ37" s="58">
        <f t="shared" si="29"/>
        <v>182698.88559359693</v>
      </c>
      <c r="BA37" s="58">
        <f t="shared" si="29"/>
        <v>194788.7975799552</v>
      </c>
      <c r="BB37" s="58">
        <f t="shared" si="29"/>
        <v>206714.6648558775</v>
      </c>
      <c r="BC37" s="58">
        <f t="shared" si="29"/>
        <v>218479.16680537513</v>
      </c>
    </row>
    <row r="38" spans="1:55" ht="12.75">
      <c r="A38" s="53" t="s">
        <v>63</v>
      </c>
      <c r="B38" s="55"/>
      <c r="C38" s="55"/>
      <c r="V38" s="58"/>
      <c r="AI38" s="58"/>
      <c r="AV38" s="58">
        <f>P26</f>
        <v>300941.990027776</v>
      </c>
      <c r="AW38" s="58">
        <f>AC26</f>
        <v>73210.61135870483</v>
      </c>
      <c r="AX38" s="58"/>
      <c r="AY38" s="58"/>
      <c r="AZ38" s="58"/>
      <c r="BA38" s="58"/>
      <c r="BB38" s="58"/>
      <c r="BC38" s="58"/>
    </row>
    <row r="39" spans="1:55" ht="12.75">
      <c r="A39" s="65" t="s">
        <v>64</v>
      </c>
      <c r="B39" s="55"/>
      <c r="C39" s="55"/>
      <c r="AV39" s="66">
        <f>AV37-AV38</f>
        <v>-300941.990027776</v>
      </c>
      <c r="AW39" s="66">
        <f aca="true" t="shared" si="30" ref="AW39:BB39">AW37-AW38</f>
        <v>16761.99145460062</v>
      </c>
      <c r="AX39" s="66">
        <f t="shared" si="30"/>
        <v>181543.01992742028</v>
      </c>
      <c r="AY39" s="66">
        <f t="shared" si="30"/>
        <v>170453.5940528105</v>
      </c>
      <c r="AZ39" s="66">
        <f t="shared" si="30"/>
        <v>182698.88559359693</v>
      </c>
      <c r="BA39" s="66">
        <f t="shared" si="30"/>
        <v>194788.7975799552</v>
      </c>
      <c r="BB39" s="66">
        <f t="shared" si="30"/>
        <v>206714.6648558775</v>
      </c>
      <c r="BC39" s="66">
        <f>BC37-BC38</f>
        <v>218479.16680537513</v>
      </c>
    </row>
    <row r="40" spans="1:55" ht="12.75">
      <c r="A40" s="67" t="s">
        <v>65</v>
      </c>
      <c r="B40" s="55"/>
      <c r="C40" s="55"/>
      <c r="AV40" s="68">
        <f>AV39/(1+Исх!$C$8)^'1-Ф3'!AV35</f>
        <v>-300941.990027776</v>
      </c>
      <c r="AW40" s="68">
        <f>AW39/(1+Исх!$C$8)^'1-Ф3'!AW35</f>
        <v>15185.219675039321</v>
      </c>
      <c r="AX40" s="68">
        <f>AX39/(1+Исх!$C$8)^'1-Ф3'!AX35</f>
        <v>148994.58458594081</v>
      </c>
      <c r="AY40" s="68">
        <f>AY39/(1+Исх!$C$8)^'1-Ф3'!AY35</f>
        <v>126733.82860371926</v>
      </c>
      <c r="AZ40" s="68">
        <f>AZ39/(1+Исх!$C$8)^'1-Ф3'!AZ35</f>
        <v>123060.23908419155</v>
      </c>
      <c r="BA40" s="68">
        <f>BA39/(1+Исх!$C$8)^'1-Ф3'!BA35</f>
        <v>118861.52472869057</v>
      </c>
      <c r="BB40" s="68">
        <f>BB39/(1+Исх!$C$8)^'1-Ф3'!BB35</f>
        <v>114273.11654925087</v>
      </c>
      <c r="BC40" s="68">
        <f>BC39/(1+Исх!$C$8)^'1-Ф3'!BC35</f>
        <v>109415.35638664475</v>
      </c>
    </row>
    <row r="41" spans="1:55" ht="12.75">
      <c r="A41" s="65" t="s">
        <v>66</v>
      </c>
      <c r="B41" s="55"/>
      <c r="C41" s="55"/>
      <c r="AV41" s="66">
        <f>AV39</f>
        <v>-300941.990027776</v>
      </c>
      <c r="AW41" s="66">
        <f aca="true" t="shared" si="31" ref="AW41:AZ42">AV41+AW39</f>
        <v>-284179.9985731754</v>
      </c>
      <c r="AX41" s="66">
        <f t="shared" si="31"/>
        <v>-102636.97864575512</v>
      </c>
      <c r="AY41" s="66">
        <f t="shared" si="31"/>
        <v>67816.61540705539</v>
      </c>
      <c r="AZ41" s="66">
        <f t="shared" si="31"/>
        <v>250515.50100065232</v>
      </c>
      <c r="BA41" s="66">
        <f aca="true" t="shared" si="32" ref="BA41:BC42">AZ41+BA39</f>
        <v>445304.2985806075</v>
      </c>
      <c r="BB41" s="66">
        <f t="shared" si="32"/>
        <v>652018.963436485</v>
      </c>
      <c r="BC41" s="66">
        <f t="shared" si="32"/>
        <v>870498.1302418602</v>
      </c>
    </row>
    <row r="42" spans="1:55" ht="12.75">
      <c r="A42" s="67" t="s">
        <v>67</v>
      </c>
      <c r="B42" s="55"/>
      <c r="C42" s="55"/>
      <c r="AV42" s="68">
        <f>AV40</f>
        <v>-300941.990027776</v>
      </c>
      <c r="AW42" s="68">
        <f t="shared" si="31"/>
        <v>-285756.77035273664</v>
      </c>
      <c r="AX42" s="68">
        <f t="shared" si="31"/>
        <v>-136762.18576679582</v>
      </c>
      <c r="AY42" s="68">
        <f t="shared" si="31"/>
        <v>-10028.357163076565</v>
      </c>
      <c r="AZ42" s="68">
        <f t="shared" si="31"/>
        <v>113031.88192111498</v>
      </c>
      <c r="BA42" s="68">
        <f t="shared" si="32"/>
        <v>231893.40664980555</v>
      </c>
      <c r="BB42" s="68">
        <f t="shared" si="32"/>
        <v>346166.5231990564</v>
      </c>
      <c r="BC42" s="68">
        <f t="shared" si="32"/>
        <v>455581.87958570116</v>
      </c>
    </row>
    <row r="43" spans="1:55" ht="12.75">
      <c r="A43" s="53" t="s">
        <v>68</v>
      </c>
      <c r="B43" s="55"/>
      <c r="C43" s="55"/>
      <c r="AV43" s="58">
        <f>NPV(Исх!$C$8,'1-Ф3'!$AV37:AV37)</f>
        <v>0</v>
      </c>
      <c r="AW43" s="58">
        <f>NPV(Исх!$C$8,'1-Ф3'!$AV37:AW37)</f>
        <v>73841.61938940808</v>
      </c>
      <c r="AX43" s="58">
        <f>NPV(Исх!$C$8,'1-Ф3'!$AV37:AX37)</f>
        <v>208820.53901579604</v>
      </c>
      <c r="AY43" s="58">
        <f>NPV(Исх!$C$8,'1-Ф3'!$AV37:AY37)</f>
        <v>323632.7337850549</v>
      </c>
      <c r="AZ43" s="58">
        <f>NPV(Исх!$C$8,'1-Ф3'!$AV37:AZ37)</f>
        <v>435116.9072985435</v>
      </c>
      <c r="BA43" s="58">
        <f>NPV(Исх!$C$8,'1-Ф3'!$AV37:BA37)</f>
        <v>542797.3323127137</v>
      </c>
      <c r="BB43" s="58">
        <f>NPV(Исх!$C$8,'1-Ф3'!$AV37:BB37)</f>
        <v>646320.9728330931</v>
      </c>
      <c r="BC43" s="58">
        <f>NPV(Исх!$C$8,'1-Ф3'!$AV37:BC37)</f>
        <v>745443.8143554763</v>
      </c>
    </row>
    <row r="44" spans="1:55" ht="12.75">
      <c r="A44" s="53" t="s">
        <v>69</v>
      </c>
      <c r="B44" s="55"/>
      <c r="C44" s="55"/>
      <c r="AV44" s="58">
        <f>NPV(Исх!$C$8,'1-Ф3'!$AV38:AV38)</f>
        <v>272632.893316563</v>
      </c>
      <c r="AW44" s="58">
        <f>NPV(Исх!$C$8,'1-Ф3'!$AV38:AW38)</f>
        <v>332717.7405942712</v>
      </c>
      <c r="AX44" s="58">
        <f>NPV(Исх!$C$8,'1-Ф3'!$AV38:AX38)</f>
        <v>332717.7405942712</v>
      </c>
      <c r="AY44" s="58">
        <f>NPV(Исх!$C$8,'1-Ф3'!$AV38:AY38)</f>
        <v>332717.7405942712</v>
      </c>
      <c r="AZ44" s="58">
        <f>NPV(Исх!$C$8,'1-Ф3'!$AV38:AZ38)</f>
        <v>332717.7405942712</v>
      </c>
      <c r="BA44" s="58">
        <f>NPV(Исх!$C$8,'1-Ф3'!$AV38:BA38)</f>
        <v>332717.7405942712</v>
      </c>
      <c r="BB44" s="58">
        <f>NPV(Исх!$C$8,'1-Ф3'!$AV38:BB38)</f>
        <v>332717.7405942712</v>
      </c>
      <c r="BC44" s="58">
        <f>NPV(Исх!$C$8,'1-Ф3'!$AV38:BC38)</f>
        <v>332717.7405942712</v>
      </c>
    </row>
    <row r="45" spans="1:55" ht="12.75">
      <c r="A45" s="53" t="s">
        <v>70</v>
      </c>
      <c r="B45" s="55"/>
      <c r="C45" s="55"/>
      <c r="AV45" s="58">
        <f aca="true" t="shared" si="33" ref="AV45:BB45">AV43-AV44</f>
        <v>-272632.893316563</v>
      </c>
      <c r="AW45" s="58">
        <f t="shared" si="33"/>
        <v>-258876.12120486313</v>
      </c>
      <c r="AX45" s="58">
        <f t="shared" si="33"/>
        <v>-123897.20157847519</v>
      </c>
      <c r="AY45" s="58">
        <f t="shared" si="33"/>
        <v>-9085.006809216342</v>
      </c>
      <c r="AZ45" s="58">
        <f t="shared" si="33"/>
        <v>102399.16670427227</v>
      </c>
      <c r="BA45" s="58">
        <f t="shared" si="33"/>
        <v>210079.5917184425</v>
      </c>
      <c r="BB45" s="58">
        <f t="shared" si="33"/>
        <v>313603.2322388219</v>
      </c>
      <c r="BC45" s="58">
        <f>BC43-BC44</f>
        <v>412726.0737612051</v>
      </c>
    </row>
    <row r="46" spans="1:55" ht="12.75">
      <c r="A46" s="53" t="s">
        <v>71</v>
      </c>
      <c r="B46" s="55"/>
      <c r="C46" s="55"/>
      <c r="AV46" s="69">
        <f aca="true" t="shared" si="34" ref="AV46:BB46">AV43/AV44</f>
        <v>0</v>
      </c>
      <c r="AW46" s="69">
        <f t="shared" si="34"/>
        <v>0.22193472237915135</v>
      </c>
      <c r="AX46" s="69">
        <f t="shared" si="34"/>
        <v>0.6276206932723789</v>
      </c>
      <c r="AY46" s="69">
        <f t="shared" si="34"/>
        <v>0.9726945524666358</v>
      </c>
      <c r="AZ46" s="69">
        <f t="shared" si="34"/>
        <v>1.3077658754275496</v>
      </c>
      <c r="BA46" s="69">
        <f t="shared" si="34"/>
        <v>1.6314048398598067</v>
      </c>
      <c r="BB46" s="69">
        <f t="shared" si="34"/>
        <v>1.9425503782235698</v>
      </c>
      <c r="BC46" s="69">
        <f>BC43/BC44</f>
        <v>2.2404690925828903</v>
      </c>
    </row>
    <row r="47" spans="1:55" ht="12.75">
      <c r="A47" s="53" t="s">
        <v>72</v>
      </c>
      <c r="B47" s="55"/>
      <c r="C47" s="55"/>
      <c r="AS47" s="70"/>
      <c r="AT47" s="70"/>
      <c r="AU47" s="70"/>
      <c r="AV47" s="70" t="str">
        <f>IF(ISERROR(IRR($AV39:AV$39))," ",IF(IRR($AV39:AV$39)&lt;0," ",IRR($AV39:AV$39)))</f>
        <v> </v>
      </c>
      <c r="AW47" s="70" t="str">
        <f>IF(ISERROR(IRR($AV39:AW$39))," ",IF(IRR($AV39:AW$39)&lt;0," ",IRR($AV39:AW$39)))</f>
        <v> </v>
      </c>
      <c r="AX47" s="70" t="str">
        <f>IF(ISERROR(IRR($AV39:AX$39))," ",IF(IRR($AV39:AX$39)&lt;0," ",IRR($AV39:AX$39)))</f>
        <v> </v>
      </c>
      <c r="AY47" s="70">
        <f>IF(ISERROR(IRR($AV39:AY$39))," ",IF(IRR($AV39:AY$39)&lt;0," ",IRR($AV39:AY$39)))</f>
        <v>0.08826683338346442</v>
      </c>
      <c r="AZ47" s="70">
        <f>IF(ISERROR(IRR($AV39:AZ$39))," ",IF(IRR($AV39:AZ$39)&lt;0," ",IRR($AV39:AZ$39)))</f>
        <v>0.23601117168101848</v>
      </c>
      <c r="BA47" s="70">
        <f>IF(ISERROR(IRR($AV39:BA$39))," ",IF(IRR($AV39:BA$39)&lt;0," ",IRR($AV39:BA$39)))</f>
        <v>0.31835878935395523</v>
      </c>
      <c r="BB47" s="70">
        <f>IF(ISERROR(IRR($AV39:BB$39))," ",IF(IRR($AV39:BB$39)&lt;0," ",IRR($AV39:BB$39)))</f>
        <v>0.3669998646685604</v>
      </c>
      <c r="BC47" s="70">
        <f>IF(ISERROR(IRR($AV39:BC$39))," ",IF(IRR($AV39:BC$39)&lt;0," ",IRR($AV39:BC$39)))</f>
        <v>0.39703098146714044</v>
      </c>
    </row>
    <row r="48" spans="1:3" ht="12.75">
      <c r="A48" s="71" t="s">
        <v>35</v>
      </c>
      <c r="B48" s="59">
        <f>AW35-AW41/AX39</f>
        <v>2.5653589914213653</v>
      </c>
      <c r="C48" s="55"/>
    </row>
    <row r="49" spans="1:3" ht="12.75">
      <c r="A49" s="71" t="s">
        <v>29</v>
      </c>
      <c r="B49" s="59">
        <f>AX35-AX42/AY40</f>
        <v>3.0791292843715308</v>
      </c>
      <c r="C49" s="55"/>
    </row>
    <row r="50" spans="1:3" ht="12.75">
      <c r="A50" s="53"/>
      <c r="B50" s="59"/>
      <c r="C50" s="55"/>
    </row>
    <row r="51" spans="1:3" ht="12.75">
      <c r="A51" s="53"/>
      <c r="B51" s="55"/>
      <c r="C51" s="55"/>
    </row>
    <row r="52" spans="1:3" ht="12.75">
      <c r="A52" s="53"/>
      <c r="B52" s="55"/>
      <c r="C52" s="55"/>
    </row>
    <row r="53" spans="1:3" ht="12.75">
      <c r="A53" s="53"/>
      <c r="B53" s="55"/>
      <c r="C53" s="55"/>
    </row>
    <row r="54" spans="1:3" ht="12.75">
      <c r="A54" s="53"/>
      <c r="B54" s="55"/>
      <c r="C54" s="55"/>
    </row>
    <row r="55" spans="1:3" ht="12.75">
      <c r="A55" s="53"/>
      <c r="B55" s="55"/>
      <c r="C55" s="55"/>
    </row>
    <row r="56" spans="1:3" ht="12.75">
      <c r="A56" s="53"/>
      <c r="B56" s="55"/>
      <c r="C56" s="55"/>
    </row>
    <row r="57" spans="1:3" ht="12.75">
      <c r="A57" s="53"/>
      <c r="B57" s="55"/>
      <c r="C57" s="55"/>
    </row>
    <row r="58" spans="1:3" ht="12.75">
      <c r="A58" s="53"/>
      <c r="B58" s="55"/>
      <c r="C58" s="55"/>
    </row>
    <row r="59" spans="1:3" ht="12.75">
      <c r="A59" s="53"/>
      <c r="B59" s="55"/>
      <c r="C59" s="55"/>
    </row>
    <row r="60" spans="1:3" ht="12.75">
      <c r="A60" s="53"/>
      <c r="B60" s="55"/>
      <c r="C60" s="55"/>
    </row>
    <row r="61" spans="1:3" ht="12.75">
      <c r="A61" s="53"/>
      <c r="B61" s="55"/>
      <c r="C61" s="55"/>
    </row>
    <row r="62" spans="1:44" ht="12.75">
      <c r="A62" s="53"/>
      <c r="B62" s="55"/>
      <c r="C62" s="55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ht="12.75">
      <c r="A63" s="53"/>
      <c r="B63" s="55"/>
      <c r="C63" s="5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ht="12.75">
      <c r="A64" s="53"/>
      <c r="B64" s="55"/>
      <c r="C64" s="5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ht="12.75">
      <c r="A65" s="53"/>
      <c r="B65" s="55"/>
      <c r="C65" s="5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ht="12.75">
      <c r="A66" s="53"/>
      <c r="B66" s="55"/>
      <c r="C66" s="55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ht="12.75">
      <c r="A67" s="53"/>
      <c r="B67" s="55"/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ht="12.75">
      <c r="A68" s="53"/>
      <c r="B68" s="55"/>
      <c r="C68" s="55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ht="12.75">
      <c r="A69" s="53"/>
      <c r="B69" s="55"/>
      <c r="C69" s="5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ht="12.75">
      <c r="A70" s="53"/>
      <c r="B70" s="55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ht="12.75">
      <c r="A71" s="53"/>
      <c r="B71" s="55"/>
      <c r="C71" s="5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ht="12.75">
      <c r="A72" s="53"/>
      <c r="B72" s="55"/>
      <c r="C72" s="5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ht="12.75">
      <c r="A73" s="53"/>
      <c r="B73" s="55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ht="12.75">
      <c r="A74" s="53"/>
      <c r="B74" s="55"/>
      <c r="C74" s="55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ht="12.75">
      <c r="A75" s="53"/>
      <c r="B75" s="55"/>
      <c r="C75" s="55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ht="12.75">
      <c r="A76" s="53"/>
      <c r="B76" s="55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ht="12.75">
      <c r="A77" s="53"/>
      <c r="B77" s="55"/>
      <c r="C77" s="5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ht="12.75">
      <c r="A78" s="53"/>
      <c r="B78" s="55"/>
      <c r="C78" s="5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ht="12.75">
      <c r="A79" s="53"/>
      <c r="B79" s="55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ht="12.75">
      <c r="A80" s="53"/>
      <c r="B80" s="55"/>
      <c r="C80" s="5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ht="12.75">
      <c r="A81" s="53"/>
      <c r="B81" s="55"/>
      <c r="C81" s="55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ht="12.75">
      <c r="A82" s="53"/>
      <c r="B82" s="55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ht="12.75">
      <c r="A83" s="53"/>
      <c r="B83" s="55"/>
      <c r="C83" s="5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ht="12.75">
      <c r="A84" s="53"/>
      <c r="B84" s="55"/>
      <c r="C84" s="55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ht="12.75">
      <c r="A85" s="53"/>
      <c r="B85" s="55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ht="12.75">
      <c r="A86" s="53"/>
      <c r="B86" s="55"/>
      <c r="C86" s="55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ht="12.75">
      <c r="A87" s="53"/>
      <c r="B87" s="55"/>
      <c r="C87" s="5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ht="12.75">
      <c r="A88" s="53"/>
      <c r="B88" s="55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ht="12.75">
      <c r="A89" s="53"/>
      <c r="B89" s="55"/>
      <c r="C89" s="5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ht="12.75">
      <c r="A90" s="53"/>
      <c r="B90" s="55"/>
      <c r="C90" s="5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ht="12.75">
      <c r="A91" s="53"/>
      <c r="B91" s="55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ht="12.75">
      <c r="A92" s="53"/>
      <c r="B92" s="55"/>
      <c r="C92" s="55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ht="12.75">
      <c r="A93" s="53"/>
      <c r="B93" s="55"/>
      <c r="C93" s="5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  <row r="94" spans="1:44" ht="12.75">
      <c r="A94" s="53"/>
      <c r="B94" s="55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</row>
    <row r="95" spans="1:44" ht="12.75">
      <c r="A95" s="53"/>
      <c r="B95" s="55"/>
      <c r="C95" s="55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</row>
    <row r="96" spans="1:44" ht="12.75">
      <c r="A96" s="53"/>
      <c r="B96" s="55"/>
      <c r="C96" s="55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2.75">
      <c r="A97" s="53"/>
      <c r="B97" s="55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2.75">
      <c r="A98" s="53"/>
      <c r="B98" s="55"/>
      <c r="C98" s="5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2.75">
      <c r="A99" s="53"/>
      <c r="B99" s="55"/>
      <c r="C99" s="55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2.75">
      <c r="A100" s="53"/>
      <c r="B100" s="55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2.75">
      <c r="A101" s="53"/>
      <c r="B101" s="55"/>
      <c r="C101" s="55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2.75">
      <c r="A102" s="53"/>
      <c r="B102" s="55"/>
      <c r="C102" s="55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2.75">
      <c r="A103" s="53"/>
      <c r="B103" s="55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2.75">
      <c r="A104" s="53"/>
      <c r="B104" s="55"/>
      <c r="C104" s="55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2.75">
      <c r="A105" s="53"/>
      <c r="B105" s="55"/>
      <c r="C105" s="55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2.75">
      <c r="A106" s="53"/>
      <c r="B106" s="55"/>
      <c r="C106" s="5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2.75">
      <c r="A107" s="53"/>
      <c r="B107" s="55"/>
      <c r="C107" s="5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2.75">
      <c r="A108" s="53"/>
      <c r="B108" s="55"/>
      <c r="C108" s="5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2.75">
      <c r="A109" s="53"/>
      <c r="B109" s="55"/>
      <c r="C109" s="5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2.75">
      <c r="A110" s="53"/>
      <c r="B110" s="55"/>
      <c r="C110" s="5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2.75">
      <c r="A111" s="53"/>
      <c r="B111" s="55"/>
      <c r="C111" s="5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2.75">
      <c r="A112" s="53"/>
      <c r="B112" s="55"/>
      <c r="C112" s="5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2.75">
      <c r="A113" s="53"/>
      <c r="B113" s="55"/>
      <c r="C113" s="55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2.75">
      <c r="A114" s="53"/>
      <c r="B114" s="55"/>
      <c r="C114" s="5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2.75">
      <c r="A115" s="53"/>
      <c r="B115" s="55"/>
      <c r="C115" s="5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12.75">
      <c r="A116" s="53"/>
      <c r="B116" s="55"/>
      <c r="C116" s="55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12.75">
      <c r="A117" s="53"/>
      <c r="B117" s="55"/>
      <c r="C117" s="5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12.75">
      <c r="A118" s="53"/>
      <c r="B118" s="55"/>
      <c r="C118" s="55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12.75">
      <c r="A119" s="53"/>
      <c r="B119" s="55"/>
      <c r="C119" s="55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12.75">
      <c r="A120" s="53"/>
      <c r="B120" s="55"/>
      <c r="C120" s="5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12.75">
      <c r="A121" s="53"/>
      <c r="B121" s="55"/>
      <c r="C121" s="5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12.75">
      <c r="A122" s="53"/>
      <c r="B122" s="55"/>
      <c r="C122" s="5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12.75">
      <c r="A123" s="53"/>
      <c r="B123" s="55"/>
      <c r="C123" s="55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12.75">
      <c r="A124" s="53"/>
      <c r="B124" s="55"/>
      <c r="C124" s="55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12.75">
      <c r="A125" s="53"/>
      <c r="B125" s="55"/>
      <c r="C125" s="5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12.75">
      <c r="A126" s="53"/>
      <c r="B126" s="55"/>
      <c r="C126" s="55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12.75">
      <c r="A127" s="53"/>
      <c r="B127" s="55"/>
      <c r="C127" s="55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12.75">
      <c r="A128" s="53"/>
      <c r="B128" s="55"/>
      <c r="C128" s="55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12.75">
      <c r="A129" s="53"/>
      <c r="B129" s="55"/>
      <c r="C129" s="55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12.75">
      <c r="A130" s="53"/>
      <c r="B130" s="55"/>
      <c r="C130" s="55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12.75">
      <c r="A131" s="53"/>
      <c r="B131" s="55"/>
      <c r="C131" s="55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12.75">
      <c r="A132" s="53"/>
      <c r="B132" s="55"/>
      <c r="C132" s="55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12.75">
      <c r="A133" s="53"/>
      <c r="B133" s="55"/>
      <c r="C133" s="55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12.75">
      <c r="A134" s="53"/>
      <c r="B134" s="55"/>
      <c r="C134" s="55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12.75">
      <c r="A135" s="53"/>
      <c r="B135" s="55"/>
      <c r="C135" s="55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12.75">
      <c r="A136" s="53"/>
      <c r="B136" s="55"/>
      <c r="C136" s="55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12.75">
      <c r="A137" s="53"/>
      <c r="B137" s="55"/>
      <c r="C137" s="55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12.75">
      <c r="A138" s="53"/>
      <c r="B138" s="55"/>
      <c r="C138" s="55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12.75">
      <c r="A139" s="53"/>
      <c r="B139" s="55"/>
      <c r="C139" s="55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ht="12.75">
      <c r="A140" s="53"/>
      <c r="B140" s="55"/>
      <c r="C140" s="55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12.75">
      <c r="A141" s="53"/>
      <c r="B141" s="55"/>
      <c r="C141" s="55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</sheetData>
  <sheetProtection/>
  <mergeCells count="5">
    <mergeCell ref="A5:A6"/>
    <mergeCell ref="B5:B6"/>
    <mergeCell ref="D5:P5"/>
    <mergeCell ref="Q5:AC5"/>
    <mergeCell ref="AD5:AP5"/>
  </mergeCells>
  <printOptions/>
  <pageMargins left="0.4330708661417323" right="0.2755905511811024" top="0.7086614173228347" bottom="0.35433070866141736" header="0.4330708661417323" footer="0.2362204724409449"/>
  <pageSetup horizontalDpi="600" verticalDpi="600" orientation="landscape" paperSize="9" r:id="rId3"/>
  <headerFooter alignWithMargins="0">
    <oddHeader>&amp;RПриложение 1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DP97"/>
  <sheetViews>
    <sheetView showGridLines="0" zoomScalePageLayoutView="0" workbookViewId="0" topLeftCell="A1">
      <pane xSplit="2" ySplit="6" topLeftCell="O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DR34" sqref="DR34"/>
    </sheetView>
  </sheetViews>
  <sheetFormatPr defaultColWidth="9.00390625" defaultRowHeight="12.75" outlineLevelRow="1" outlineLevelCol="1"/>
  <cols>
    <col min="1" max="1" width="23.25390625" style="177" customWidth="1"/>
    <col min="2" max="2" width="12.125" style="177" customWidth="1"/>
    <col min="3" max="14" width="9.125" style="177" hidden="1" customWidth="1" outlineLevel="1"/>
    <col min="15" max="15" width="10.125" style="178" bestFit="1" customWidth="1" collapsed="1"/>
    <col min="16" max="19" width="9.125" style="177" hidden="1" customWidth="1" outlineLevel="1"/>
    <col min="20" max="21" width="9.75390625" style="177" hidden="1" customWidth="1" outlineLevel="1"/>
    <col min="22" max="22" width="9.625" style="177" hidden="1" customWidth="1" outlineLevel="1"/>
    <col min="23" max="27" width="9.75390625" style="177" hidden="1" customWidth="1" outlineLevel="1"/>
    <col min="28" max="28" width="10.125" style="178" bestFit="1" customWidth="1" collapsed="1"/>
    <col min="29" max="40" width="9.75390625" style="177" hidden="1" customWidth="1" outlineLevel="1"/>
    <col min="41" max="41" width="10.125" style="178" bestFit="1" customWidth="1" collapsed="1"/>
    <col min="42" max="53" width="9.75390625" style="177" hidden="1" customWidth="1" outlineLevel="1"/>
    <col min="54" max="54" width="9.75390625" style="178" bestFit="1" customWidth="1" collapsed="1"/>
    <col min="55" max="66" width="9.75390625" style="177" hidden="1" customWidth="1" outlineLevel="1"/>
    <col min="67" max="67" width="10.125" style="178" bestFit="1" customWidth="1" collapsed="1"/>
    <col min="68" max="79" width="9.75390625" style="177" hidden="1" customWidth="1" outlineLevel="1"/>
    <col min="80" max="80" width="10.125" style="178" bestFit="1" customWidth="1" collapsed="1"/>
    <col min="81" max="92" width="9.75390625" style="177" hidden="1" customWidth="1" outlineLevel="1"/>
    <col min="93" max="93" width="10.125" style="178" bestFit="1" customWidth="1" collapsed="1"/>
    <col min="94" max="98" width="9.75390625" style="177" hidden="1" customWidth="1" outlineLevel="1"/>
    <col min="99" max="105" width="8.75390625" style="177" hidden="1" customWidth="1" outlineLevel="1"/>
    <col min="106" max="106" width="10.125" style="178" bestFit="1" customWidth="1" collapsed="1"/>
    <col min="107" max="118" width="8.75390625" style="177" hidden="1" customWidth="1" outlineLevel="1"/>
    <col min="119" max="119" width="10.125" style="178" hidden="1" customWidth="1" collapsed="1"/>
    <col min="120" max="120" width="9.75390625" style="177" bestFit="1" customWidth="1"/>
    <col min="121" max="16384" width="9.125" style="177" customWidth="1"/>
  </cols>
  <sheetData>
    <row r="1" ht="9.75" customHeight="1"/>
    <row r="2" spans="1:15" ht="18.75" customHeight="1">
      <c r="A2" s="178" t="s">
        <v>99</v>
      </c>
      <c r="B2" s="179"/>
      <c r="D2" s="180"/>
      <c r="E2" s="180"/>
      <c r="F2" s="181"/>
      <c r="G2" s="180"/>
      <c r="O2" s="182"/>
    </row>
    <row r="3" spans="1:15" ht="13.5" customHeight="1">
      <c r="A3" s="183"/>
      <c r="B3" s="179"/>
      <c r="D3" s="180"/>
      <c r="E3" s="180"/>
      <c r="F3" s="181"/>
      <c r="G3" s="180"/>
      <c r="O3" s="182"/>
    </row>
    <row r="4" spans="1:2" ht="12.75" hidden="1">
      <c r="A4" s="184" t="s">
        <v>259</v>
      </c>
      <c r="B4" s="185"/>
    </row>
    <row r="5" spans="1:119" ht="15.75" customHeight="1" hidden="1">
      <c r="A5" s="186" t="s">
        <v>11</v>
      </c>
      <c r="B5" s="187">
        <f>Исх!C48</f>
        <v>0.07</v>
      </c>
      <c r="C5" s="363">
        <v>2012</v>
      </c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>
        <v>2013</v>
      </c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>
        <v>2014</v>
      </c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363">
        <v>2015</v>
      </c>
      <c r="AQ5" s="363"/>
      <c r="AR5" s="363"/>
      <c r="AS5" s="363"/>
      <c r="AT5" s="363"/>
      <c r="AU5" s="363"/>
      <c r="AV5" s="363"/>
      <c r="AW5" s="363"/>
      <c r="AX5" s="363"/>
      <c r="AY5" s="363"/>
      <c r="AZ5" s="363"/>
      <c r="BA5" s="363"/>
      <c r="BB5" s="363"/>
      <c r="BC5" s="363">
        <v>2016</v>
      </c>
      <c r="BD5" s="363"/>
      <c r="BE5" s="363"/>
      <c r="BF5" s="363"/>
      <c r="BG5" s="363"/>
      <c r="BH5" s="363"/>
      <c r="BI5" s="363"/>
      <c r="BJ5" s="363"/>
      <c r="BK5" s="363"/>
      <c r="BL5" s="363"/>
      <c r="BM5" s="363"/>
      <c r="BN5" s="363"/>
      <c r="BO5" s="363"/>
      <c r="BP5" s="363">
        <v>2017</v>
      </c>
      <c r="BQ5" s="363"/>
      <c r="BR5" s="363"/>
      <c r="BS5" s="363"/>
      <c r="BT5" s="363"/>
      <c r="BU5" s="363"/>
      <c r="BV5" s="363"/>
      <c r="BW5" s="363"/>
      <c r="BX5" s="363"/>
      <c r="BY5" s="363"/>
      <c r="BZ5" s="363"/>
      <c r="CA5" s="363"/>
      <c r="CB5" s="363"/>
      <c r="CC5" s="363">
        <v>2018</v>
      </c>
      <c r="CD5" s="363"/>
      <c r="CE5" s="363"/>
      <c r="CF5" s="363"/>
      <c r="CG5" s="363"/>
      <c r="CH5" s="363"/>
      <c r="CI5" s="363"/>
      <c r="CJ5" s="363"/>
      <c r="CK5" s="363"/>
      <c r="CL5" s="363"/>
      <c r="CM5" s="363"/>
      <c r="CN5" s="363"/>
      <c r="CO5" s="363"/>
      <c r="CP5" s="363">
        <v>2019</v>
      </c>
      <c r="CQ5" s="363"/>
      <c r="CR5" s="363"/>
      <c r="CS5" s="363"/>
      <c r="CT5" s="363"/>
      <c r="CU5" s="363"/>
      <c r="CV5" s="363"/>
      <c r="CW5" s="363"/>
      <c r="CX5" s="363"/>
      <c r="CY5" s="363"/>
      <c r="CZ5" s="363"/>
      <c r="DA5" s="363"/>
      <c r="DB5" s="363"/>
      <c r="DC5" s="363">
        <v>2020</v>
      </c>
      <c r="DD5" s="363"/>
      <c r="DE5" s="363"/>
      <c r="DF5" s="363"/>
      <c r="DG5" s="363"/>
      <c r="DH5" s="363"/>
      <c r="DI5" s="363"/>
      <c r="DJ5" s="363"/>
      <c r="DK5" s="363"/>
      <c r="DL5" s="363"/>
      <c r="DM5" s="363"/>
      <c r="DN5" s="363"/>
      <c r="DO5" s="363"/>
    </row>
    <row r="6" spans="1:119" s="192" customFormat="1" ht="15" customHeight="1" hidden="1">
      <c r="A6" s="188" t="s">
        <v>9</v>
      </c>
      <c r="B6" s="189" t="s">
        <v>12</v>
      </c>
      <c r="C6" s="190">
        <v>1</v>
      </c>
      <c r="D6" s="190">
        <v>2</v>
      </c>
      <c r="E6" s="190">
        <f>D6+1</f>
        <v>3</v>
      </c>
      <c r="F6" s="190">
        <f aca="true" t="shared" si="0" ref="F6:N6">E6+1</f>
        <v>4</v>
      </c>
      <c r="G6" s="190">
        <f t="shared" si="0"/>
        <v>5</v>
      </c>
      <c r="H6" s="190">
        <f t="shared" si="0"/>
        <v>6</v>
      </c>
      <c r="I6" s="190">
        <f t="shared" si="0"/>
        <v>7</v>
      </c>
      <c r="J6" s="190">
        <f t="shared" si="0"/>
        <v>8</v>
      </c>
      <c r="K6" s="190">
        <f t="shared" si="0"/>
        <v>9</v>
      </c>
      <c r="L6" s="190">
        <f t="shared" si="0"/>
        <v>10</v>
      </c>
      <c r="M6" s="190">
        <f t="shared" si="0"/>
        <v>11</v>
      </c>
      <c r="N6" s="190">
        <f t="shared" si="0"/>
        <v>12</v>
      </c>
      <c r="O6" s="191" t="s">
        <v>0</v>
      </c>
      <c r="P6" s="190">
        <v>1</v>
      </c>
      <c r="Q6" s="190">
        <v>2</v>
      </c>
      <c r="R6" s="190">
        <f>Q6+1</f>
        <v>3</v>
      </c>
      <c r="S6" s="190">
        <f aca="true" t="shared" si="1" ref="S6:AA6">R6+1</f>
        <v>4</v>
      </c>
      <c r="T6" s="190">
        <f t="shared" si="1"/>
        <v>5</v>
      </c>
      <c r="U6" s="190">
        <f t="shared" si="1"/>
        <v>6</v>
      </c>
      <c r="V6" s="190">
        <f t="shared" si="1"/>
        <v>7</v>
      </c>
      <c r="W6" s="190">
        <f t="shared" si="1"/>
        <v>8</v>
      </c>
      <c r="X6" s="190">
        <f t="shared" si="1"/>
        <v>9</v>
      </c>
      <c r="Y6" s="190">
        <f t="shared" si="1"/>
        <v>10</v>
      </c>
      <c r="Z6" s="190">
        <f t="shared" si="1"/>
        <v>11</v>
      </c>
      <c r="AA6" s="190">
        <f t="shared" si="1"/>
        <v>12</v>
      </c>
      <c r="AB6" s="191" t="s">
        <v>0</v>
      </c>
      <c r="AC6" s="190">
        <v>1</v>
      </c>
      <c r="AD6" s="190">
        <v>2</v>
      </c>
      <c r="AE6" s="190">
        <f aca="true" t="shared" si="2" ref="AE6:BN6">AD6+1</f>
        <v>3</v>
      </c>
      <c r="AF6" s="190">
        <f t="shared" si="2"/>
        <v>4</v>
      </c>
      <c r="AG6" s="190">
        <f t="shared" si="2"/>
        <v>5</v>
      </c>
      <c r="AH6" s="190">
        <f t="shared" si="2"/>
        <v>6</v>
      </c>
      <c r="AI6" s="190">
        <f t="shared" si="2"/>
        <v>7</v>
      </c>
      <c r="AJ6" s="190">
        <f t="shared" si="2"/>
        <v>8</v>
      </c>
      <c r="AK6" s="190">
        <f t="shared" si="2"/>
        <v>9</v>
      </c>
      <c r="AL6" s="190">
        <f t="shared" si="2"/>
        <v>10</v>
      </c>
      <c r="AM6" s="190">
        <f t="shared" si="2"/>
        <v>11</v>
      </c>
      <c r="AN6" s="190">
        <f t="shared" si="2"/>
        <v>12</v>
      </c>
      <c r="AO6" s="191" t="s">
        <v>0</v>
      </c>
      <c r="AP6" s="190">
        <v>1</v>
      </c>
      <c r="AQ6" s="190">
        <v>2</v>
      </c>
      <c r="AR6" s="190">
        <f>AQ6+1</f>
        <v>3</v>
      </c>
      <c r="AS6" s="190">
        <f t="shared" si="2"/>
        <v>4</v>
      </c>
      <c r="AT6" s="190">
        <f t="shared" si="2"/>
        <v>5</v>
      </c>
      <c r="AU6" s="190">
        <f t="shared" si="2"/>
        <v>6</v>
      </c>
      <c r="AV6" s="190">
        <f t="shared" si="2"/>
        <v>7</v>
      </c>
      <c r="AW6" s="190">
        <f t="shared" si="2"/>
        <v>8</v>
      </c>
      <c r="AX6" s="190">
        <f t="shared" si="2"/>
        <v>9</v>
      </c>
      <c r="AY6" s="190">
        <f t="shared" si="2"/>
        <v>10</v>
      </c>
      <c r="AZ6" s="190">
        <f t="shared" si="2"/>
        <v>11</v>
      </c>
      <c r="BA6" s="190">
        <f t="shared" si="2"/>
        <v>12</v>
      </c>
      <c r="BB6" s="191" t="s">
        <v>0</v>
      </c>
      <c r="BC6" s="190">
        <v>1</v>
      </c>
      <c r="BD6" s="190">
        <v>2</v>
      </c>
      <c r="BE6" s="190">
        <f>BD6+1</f>
        <v>3</v>
      </c>
      <c r="BF6" s="190">
        <f t="shared" si="2"/>
        <v>4</v>
      </c>
      <c r="BG6" s="190">
        <f t="shared" si="2"/>
        <v>5</v>
      </c>
      <c r="BH6" s="190">
        <f t="shared" si="2"/>
        <v>6</v>
      </c>
      <c r="BI6" s="190">
        <f t="shared" si="2"/>
        <v>7</v>
      </c>
      <c r="BJ6" s="190">
        <f t="shared" si="2"/>
        <v>8</v>
      </c>
      <c r="BK6" s="190">
        <f t="shared" si="2"/>
        <v>9</v>
      </c>
      <c r="BL6" s="190">
        <f t="shared" si="2"/>
        <v>10</v>
      </c>
      <c r="BM6" s="190">
        <f t="shared" si="2"/>
        <v>11</v>
      </c>
      <c r="BN6" s="190">
        <f t="shared" si="2"/>
        <v>12</v>
      </c>
      <c r="BO6" s="191" t="s">
        <v>0</v>
      </c>
      <c r="BP6" s="190">
        <v>1</v>
      </c>
      <c r="BQ6" s="190">
        <v>2</v>
      </c>
      <c r="BR6" s="190">
        <f aca="true" t="shared" si="3" ref="BR6:CA6">BQ6+1</f>
        <v>3</v>
      </c>
      <c r="BS6" s="190">
        <f t="shared" si="3"/>
        <v>4</v>
      </c>
      <c r="BT6" s="190">
        <f t="shared" si="3"/>
        <v>5</v>
      </c>
      <c r="BU6" s="190">
        <f t="shared" si="3"/>
        <v>6</v>
      </c>
      <c r="BV6" s="190">
        <f t="shared" si="3"/>
        <v>7</v>
      </c>
      <c r="BW6" s="190">
        <f t="shared" si="3"/>
        <v>8</v>
      </c>
      <c r="BX6" s="190">
        <f t="shared" si="3"/>
        <v>9</v>
      </c>
      <c r="BY6" s="190">
        <f t="shared" si="3"/>
        <v>10</v>
      </c>
      <c r="BZ6" s="190">
        <f t="shared" si="3"/>
        <v>11</v>
      </c>
      <c r="CA6" s="190">
        <f t="shared" si="3"/>
        <v>12</v>
      </c>
      <c r="CB6" s="191" t="s">
        <v>0</v>
      </c>
      <c r="CC6" s="190">
        <v>1</v>
      </c>
      <c r="CD6" s="190">
        <v>2</v>
      </c>
      <c r="CE6" s="190">
        <f aca="true" t="shared" si="4" ref="CE6:CN6">CD6+1</f>
        <v>3</v>
      </c>
      <c r="CF6" s="190">
        <f t="shared" si="4"/>
        <v>4</v>
      </c>
      <c r="CG6" s="190">
        <f t="shared" si="4"/>
        <v>5</v>
      </c>
      <c r="CH6" s="190">
        <f t="shared" si="4"/>
        <v>6</v>
      </c>
      <c r="CI6" s="190">
        <f t="shared" si="4"/>
        <v>7</v>
      </c>
      <c r="CJ6" s="190">
        <f t="shared" si="4"/>
        <v>8</v>
      </c>
      <c r="CK6" s="190">
        <f t="shared" si="4"/>
        <v>9</v>
      </c>
      <c r="CL6" s="190">
        <f t="shared" si="4"/>
        <v>10</v>
      </c>
      <c r="CM6" s="190">
        <f t="shared" si="4"/>
        <v>11</v>
      </c>
      <c r="CN6" s="190">
        <f t="shared" si="4"/>
        <v>12</v>
      </c>
      <c r="CO6" s="191" t="s">
        <v>0</v>
      </c>
      <c r="CP6" s="190">
        <v>1</v>
      </c>
      <c r="CQ6" s="190">
        <v>2</v>
      </c>
      <c r="CR6" s="190">
        <f aca="true" t="shared" si="5" ref="CR6:DA6">CQ6+1</f>
        <v>3</v>
      </c>
      <c r="CS6" s="190">
        <f t="shared" si="5"/>
        <v>4</v>
      </c>
      <c r="CT6" s="190">
        <f t="shared" si="5"/>
        <v>5</v>
      </c>
      <c r="CU6" s="190">
        <f t="shared" si="5"/>
        <v>6</v>
      </c>
      <c r="CV6" s="190">
        <f t="shared" si="5"/>
        <v>7</v>
      </c>
      <c r="CW6" s="190">
        <f t="shared" si="5"/>
        <v>8</v>
      </c>
      <c r="CX6" s="190">
        <f t="shared" si="5"/>
        <v>9</v>
      </c>
      <c r="CY6" s="190">
        <f t="shared" si="5"/>
        <v>10</v>
      </c>
      <c r="CZ6" s="190">
        <f t="shared" si="5"/>
        <v>11</v>
      </c>
      <c r="DA6" s="190">
        <f t="shared" si="5"/>
        <v>12</v>
      </c>
      <c r="DB6" s="191" t="s">
        <v>0</v>
      </c>
      <c r="DC6" s="190">
        <v>1</v>
      </c>
      <c r="DD6" s="190">
        <v>2</v>
      </c>
      <c r="DE6" s="190">
        <f aca="true" t="shared" si="6" ref="DE6:DN6">DD6+1</f>
        <v>3</v>
      </c>
      <c r="DF6" s="190">
        <f t="shared" si="6"/>
        <v>4</v>
      </c>
      <c r="DG6" s="190">
        <f t="shared" si="6"/>
        <v>5</v>
      </c>
      <c r="DH6" s="190">
        <f t="shared" si="6"/>
        <v>6</v>
      </c>
      <c r="DI6" s="190">
        <f t="shared" si="6"/>
        <v>7</v>
      </c>
      <c r="DJ6" s="190">
        <f t="shared" si="6"/>
        <v>8</v>
      </c>
      <c r="DK6" s="190">
        <f t="shared" si="6"/>
        <v>9</v>
      </c>
      <c r="DL6" s="190">
        <f t="shared" si="6"/>
        <v>10</v>
      </c>
      <c r="DM6" s="190">
        <f t="shared" si="6"/>
        <v>11</v>
      </c>
      <c r="DN6" s="190">
        <f t="shared" si="6"/>
        <v>12</v>
      </c>
      <c r="DO6" s="191" t="s">
        <v>1</v>
      </c>
    </row>
    <row r="7" spans="1:120" ht="12.75" hidden="1">
      <c r="A7" s="188" t="s">
        <v>106</v>
      </c>
      <c r="B7" s="193">
        <f>O7+AB7+AO7+BB7+BO7+CB7+CO7+DB7+DO7</f>
        <v>249861.304</v>
      </c>
      <c r="C7" s="194">
        <f>'1-Ф3'!D28</f>
        <v>0</v>
      </c>
      <c r="D7" s="194">
        <f>'1-Ф3'!E28</f>
        <v>0</v>
      </c>
      <c r="E7" s="194">
        <f>'1-Ф3'!F28</f>
        <v>0</v>
      </c>
      <c r="F7" s="194">
        <f>'1-Ф3'!G28</f>
        <v>0</v>
      </c>
      <c r="G7" s="194">
        <f>'1-Ф3'!H28</f>
        <v>0</v>
      </c>
      <c r="H7" s="194">
        <f>'1-Ф3'!I28</f>
        <v>0</v>
      </c>
      <c r="I7" s="194">
        <f>'1-Ф3'!J28</f>
        <v>0</v>
      </c>
      <c r="J7" s="194">
        <f>'1-Ф3'!K28</f>
        <v>70381.4412</v>
      </c>
      <c r="K7" s="194">
        <f>'1-Ф3'!L28</f>
        <v>20634.75</v>
      </c>
      <c r="L7" s="194">
        <f>'1-Ф3'!M28</f>
        <v>98545.902</v>
      </c>
      <c r="M7" s="194">
        <f>'1-Ф3'!N28</f>
        <v>60299.2108</v>
      </c>
      <c r="N7" s="194">
        <f>'1-Ф3'!O28</f>
        <v>0</v>
      </c>
      <c r="O7" s="195">
        <f>SUM(C7:N7)</f>
        <v>249861.304</v>
      </c>
      <c r="P7" s="194">
        <f>'1-Ф3'!Q28</f>
        <v>0</v>
      </c>
      <c r="Q7" s="194">
        <f>'1-Ф3'!R28</f>
        <v>0</v>
      </c>
      <c r="R7" s="194">
        <f>'1-Ф3'!S28</f>
        <v>0</v>
      </c>
      <c r="S7" s="194">
        <f>'1-Ф3'!T28</f>
        <v>0</v>
      </c>
      <c r="T7" s="194">
        <f>'1-Ф3'!U28</f>
        <v>0</v>
      </c>
      <c r="U7" s="194">
        <f>'1-Ф3'!V28</f>
        <v>0</v>
      </c>
      <c r="V7" s="194">
        <f>'1-Ф3'!W28</f>
        <v>0</v>
      </c>
      <c r="W7" s="194">
        <f>'1-Ф3'!X28</f>
        <v>0</v>
      </c>
      <c r="X7" s="194">
        <f>'1-Ф3'!Y28</f>
        <v>0</v>
      </c>
      <c r="Y7" s="194">
        <f>'1-Ф3'!Z28</f>
        <v>0</v>
      </c>
      <c r="Z7" s="194">
        <f>'1-Ф3'!AA28</f>
        <v>0</v>
      </c>
      <c r="AA7" s="194">
        <f>'1-Ф3'!AB28</f>
        <v>0</v>
      </c>
      <c r="AB7" s="194">
        <f>SUM(P7:AA7)</f>
        <v>0</v>
      </c>
      <c r="AC7" s="194">
        <f>'1-Ф3'!AD28</f>
        <v>0</v>
      </c>
      <c r="AD7" s="194">
        <f>'1-Ф3'!AE28</f>
        <v>0</v>
      </c>
      <c r="AE7" s="194">
        <f>'1-Ф3'!AF28</f>
        <v>0</v>
      </c>
      <c r="AF7" s="194">
        <f>'1-Ф3'!AG28</f>
        <v>0</v>
      </c>
      <c r="AG7" s="194">
        <f>'1-Ф3'!AH28</f>
        <v>0</v>
      </c>
      <c r="AH7" s="194">
        <f>'1-Ф3'!AI28</f>
        <v>0</v>
      </c>
      <c r="AI7" s="194">
        <f>'1-Ф3'!AJ28</f>
        <v>0</v>
      </c>
      <c r="AJ7" s="194">
        <f>'1-Ф3'!AK28</f>
        <v>0</v>
      </c>
      <c r="AK7" s="194">
        <f>'1-Ф3'!AL28</f>
        <v>0</v>
      </c>
      <c r="AL7" s="194">
        <f>'1-Ф3'!AM28</f>
        <v>0</v>
      </c>
      <c r="AM7" s="194">
        <f>'1-Ф3'!AN28</f>
        <v>0</v>
      </c>
      <c r="AN7" s="194">
        <f>'1-Ф3'!AO28</f>
        <v>0</v>
      </c>
      <c r="AO7" s="194">
        <f>SUM(AC7:AN7)</f>
        <v>0</v>
      </c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6"/>
    </row>
    <row r="8" spans="1:119" s="197" customFormat="1" ht="20.25" customHeight="1" hidden="1">
      <c r="A8" s="188" t="s">
        <v>31</v>
      </c>
      <c r="B8" s="193">
        <f>O8+AB8+AO8+BB8+BO8+CB8+CO8+DB8+DO8</f>
        <v>34112.79907933332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5">
        <f>SUM(C8:N8)</f>
        <v>0</v>
      </c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5">
        <f>SUM(P8:AA8)</f>
        <v>0</v>
      </c>
      <c r="AC8" s="194"/>
      <c r="AD8" s="194"/>
      <c r="AE8" s="194"/>
      <c r="AF8" s="194"/>
      <c r="AG8" s="194"/>
      <c r="AH8" s="194"/>
      <c r="AI8" s="194"/>
      <c r="AJ8" s="194"/>
      <c r="AK8" s="194">
        <f>SUM(O9,AB9,(AC9:AK9))</f>
        <v>34112.79907933332</v>
      </c>
      <c r="AL8" s="194"/>
      <c r="AM8" s="194"/>
      <c r="AN8" s="194"/>
      <c r="AO8" s="195">
        <f>SUM(AC8:AN8)</f>
        <v>34112.79907933332</v>
      </c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5">
        <f>SUM(AP8:BA8)</f>
        <v>0</v>
      </c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5">
        <f>SUM(BC8:BN8)</f>
        <v>0</v>
      </c>
      <c r="BP8" s="194"/>
      <c r="BQ8" s="194"/>
      <c r="BR8" s="194"/>
      <c r="BS8" s="194"/>
      <c r="BT8" s="194"/>
      <c r="BU8" s="194"/>
      <c r="BV8" s="194"/>
      <c r="BW8" s="194"/>
      <c r="BX8" s="194"/>
      <c r="BY8" s="194"/>
      <c r="BZ8" s="194"/>
      <c r="CA8" s="194"/>
      <c r="CB8" s="195">
        <f>SUM(BP8:CA8)</f>
        <v>0</v>
      </c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5">
        <f>SUM(CC8:CN8)</f>
        <v>0</v>
      </c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5">
        <f>SUM(CP8:DA8)</f>
        <v>0</v>
      </c>
      <c r="DC8" s="194"/>
      <c r="DD8" s="194"/>
      <c r="DE8" s="194"/>
      <c r="DF8" s="194"/>
      <c r="DG8" s="194"/>
      <c r="DH8" s="194"/>
      <c r="DI8" s="194"/>
      <c r="DJ8" s="194"/>
      <c r="DK8" s="194"/>
      <c r="DL8" s="194"/>
      <c r="DM8" s="194"/>
      <c r="DN8" s="194"/>
      <c r="DO8" s="195">
        <f>SUM(DC8:DN8)</f>
        <v>0</v>
      </c>
    </row>
    <row r="9" spans="1:119" s="197" customFormat="1" ht="12.75" hidden="1">
      <c r="A9" s="198" t="s">
        <v>13</v>
      </c>
      <c r="B9" s="193">
        <f>O9+AB9+AO9+BB9+BO9+CB9+CO9+DB9+DO9</f>
        <v>97126.65255263736</v>
      </c>
      <c r="C9" s="194"/>
      <c r="D9" s="194">
        <f>C12*$B$5/12</f>
        <v>0</v>
      </c>
      <c r="E9" s="194">
        <f>D12*$B$5/12</f>
        <v>0</v>
      </c>
      <c r="F9" s="194">
        <f>E12*$B$5/12</f>
        <v>0</v>
      </c>
      <c r="G9" s="194">
        <f>F12*$B$5/12</f>
        <v>0</v>
      </c>
      <c r="H9" s="194">
        <f>G12*$B$5/12</f>
        <v>0</v>
      </c>
      <c r="I9" s="194">
        <f aca="true" t="shared" si="7" ref="I9:AA9">H12*$B$5/12</f>
        <v>0</v>
      </c>
      <c r="J9" s="194">
        <f t="shared" si="7"/>
        <v>0</v>
      </c>
      <c r="K9" s="194">
        <f t="shared" si="7"/>
        <v>410.55840700000005</v>
      </c>
      <c r="L9" s="194">
        <f>K12*$B$5/12</f>
        <v>530.9277820000001</v>
      </c>
      <c r="M9" s="194">
        <f t="shared" si="7"/>
        <v>1105.7788770000002</v>
      </c>
      <c r="N9" s="194">
        <f t="shared" si="7"/>
        <v>1457.5242733333334</v>
      </c>
      <c r="O9" s="195">
        <f>SUM(C9:N9)</f>
        <v>3504.789339333334</v>
      </c>
      <c r="P9" s="194">
        <f t="shared" si="7"/>
        <v>1457.5242733333334</v>
      </c>
      <c r="Q9" s="194">
        <f t="shared" si="7"/>
        <v>1457.5242733333334</v>
      </c>
      <c r="R9" s="194">
        <f t="shared" si="7"/>
        <v>1457.5242733333334</v>
      </c>
      <c r="S9" s="194">
        <f t="shared" si="7"/>
        <v>1457.5242733333334</v>
      </c>
      <c r="T9" s="194">
        <f t="shared" si="7"/>
        <v>1457.5242733333334</v>
      </c>
      <c r="U9" s="194">
        <f t="shared" si="7"/>
        <v>1457.5242733333334</v>
      </c>
      <c r="V9" s="194">
        <f t="shared" si="7"/>
        <v>1457.5242733333334</v>
      </c>
      <c r="W9" s="194">
        <f t="shared" si="7"/>
        <v>1457.5242733333334</v>
      </c>
      <c r="X9" s="194">
        <f t="shared" si="7"/>
        <v>1457.5242733333334</v>
      </c>
      <c r="Y9" s="194">
        <f t="shared" si="7"/>
        <v>1457.5242733333334</v>
      </c>
      <c r="Z9" s="194">
        <f t="shared" si="7"/>
        <v>1457.5242733333334</v>
      </c>
      <c r="AA9" s="194">
        <f t="shared" si="7"/>
        <v>1457.5242733333334</v>
      </c>
      <c r="AB9" s="195">
        <f>SUM(P9:AA9)</f>
        <v>17490.291279999998</v>
      </c>
      <c r="AC9" s="194">
        <f aca="true" t="shared" si="8" ref="AC9:AN9">AB12*$B$5/12</f>
        <v>1457.5242733333334</v>
      </c>
      <c r="AD9" s="194">
        <f t="shared" si="8"/>
        <v>1457.5242733333334</v>
      </c>
      <c r="AE9" s="194">
        <f t="shared" si="8"/>
        <v>1457.5242733333334</v>
      </c>
      <c r="AF9" s="194">
        <f t="shared" si="8"/>
        <v>1457.5242733333334</v>
      </c>
      <c r="AG9" s="194">
        <f t="shared" si="8"/>
        <v>1457.5242733333334</v>
      </c>
      <c r="AH9" s="194">
        <f t="shared" si="8"/>
        <v>1457.5242733333334</v>
      </c>
      <c r="AI9" s="194">
        <f t="shared" si="8"/>
        <v>1457.5242733333334</v>
      </c>
      <c r="AJ9" s="194">
        <f t="shared" si="8"/>
        <v>1457.5242733333334</v>
      </c>
      <c r="AK9" s="194">
        <f t="shared" si="8"/>
        <v>1457.5242733333334</v>
      </c>
      <c r="AL9" s="194">
        <f t="shared" si="8"/>
        <v>1656.5156012961113</v>
      </c>
      <c r="AM9" s="194">
        <f t="shared" si="8"/>
        <v>1634.428726612163</v>
      </c>
      <c r="AN9" s="194">
        <f t="shared" si="8"/>
        <v>1612.3418519282152</v>
      </c>
      <c r="AO9" s="195">
        <f>SUM(AC9:AN9)</f>
        <v>18021.00463983649</v>
      </c>
      <c r="AP9" s="194">
        <f aca="true" t="shared" si="9" ref="AP9:BA9">AO12*$B$5/12</f>
        <v>1590.2549772442671</v>
      </c>
      <c r="AQ9" s="194">
        <f t="shared" si="9"/>
        <v>1568.168102560319</v>
      </c>
      <c r="AR9" s="194">
        <f t="shared" si="9"/>
        <v>1546.0812278763713</v>
      </c>
      <c r="AS9" s="194">
        <f t="shared" si="9"/>
        <v>1523.9943531924227</v>
      </c>
      <c r="AT9" s="194">
        <f t="shared" si="9"/>
        <v>1501.9074785084747</v>
      </c>
      <c r="AU9" s="194">
        <f t="shared" si="9"/>
        <v>1479.8206038245264</v>
      </c>
      <c r="AV9" s="194">
        <f t="shared" si="9"/>
        <v>1457.7337291405784</v>
      </c>
      <c r="AW9" s="194">
        <f t="shared" si="9"/>
        <v>1435.6468544566303</v>
      </c>
      <c r="AX9" s="194">
        <f t="shared" si="9"/>
        <v>1413.5599797726818</v>
      </c>
      <c r="AY9" s="194">
        <f t="shared" si="9"/>
        <v>1391.4731050887337</v>
      </c>
      <c r="AZ9" s="194">
        <f t="shared" si="9"/>
        <v>1369.3862304047855</v>
      </c>
      <c r="BA9" s="194">
        <f t="shared" si="9"/>
        <v>1347.2993557208374</v>
      </c>
      <c r="BB9" s="195">
        <f>SUM(AP9:BA9)</f>
        <v>17625.325997790627</v>
      </c>
      <c r="BC9" s="194">
        <f aca="true" t="shared" si="10" ref="BC9:BN9">BB12*$B$5/12</f>
        <v>1325.2124810368891</v>
      </c>
      <c r="BD9" s="194">
        <f t="shared" si="10"/>
        <v>1303.125606352941</v>
      </c>
      <c r="BE9" s="194">
        <f t="shared" si="10"/>
        <v>1281.0387316689928</v>
      </c>
      <c r="BF9" s="194">
        <f t="shared" si="10"/>
        <v>1258.9518569850445</v>
      </c>
      <c r="BG9" s="194">
        <f t="shared" si="10"/>
        <v>1236.8649823010962</v>
      </c>
      <c r="BH9" s="194">
        <f t="shared" si="10"/>
        <v>1214.7781076171482</v>
      </c>
      <c r="BI9" s="194">
        <f t="shared" si="10"/>
        <v>1192.6912329332001</v>
      </c>
      <c r="BJ9" s="194">
        <f t="shared" si="10"/>
        <v>1170.6043582492518</v>
      </c>
      <c r="BK9" s="194">
        <f t="shared" si="10"/>
        <v>1148.5174835653036</v>
      </c>
      <c r="BL9" s="194">
        <f t="shared" si="10"/>
        <v>1126.4306088813553</v>
      </c>
      <c r="BM9" s="194">
        <f t="shared" si="10"/>
        <v>1104.3437341974072</v>
      </c>
      <c r="BN9" s="194">
        <f t="shared" si="10"/>
        <v>1082.2568595134592</v>
      </c>
      <c r="BO9" s="195">
        <f>SUM(BC9:BN9)</f>
        <v>14444.816043302091</v>
      </c>
      <c r="BP9" s="194">
        <f aca="true" t="shared" si="11" ref="BP9:CA9">BO12*$B$5/12</f>
        <v>1060.169984829511</v>
      </c>
      <c r="BQ9" s="194">
        <f t="shared" si="11"/>
        <v>1038.0831101455626</v>
      </c>
      <c r="BR9" s="194">
        <f t="shared" si="11"/>
        <v>1015.9962354616144</v>
      </c>
      <c r="BS9" s="194">
        <f t="shared" si="11"/>
        <v>993.9093607776663</v>
      </c>
      <c r="BT9" s="194">
        <f t="shared" si="11"/>
        <v>971.8224860937181</v>
      </c>
      <c r="BU9" s="194">
        <f t="shared" si="11"/>
        <v>949.7356114097698</v>
      </c>
      <c r="BV9" s="194">
        <f t="shared" si="11"/>
        <v>927.6487367258218</v>
      </c>
      <c r="BW9" s="194">
        <f t="shared" si="11"/>
        <v>905.5618620418735</v>
      </c>
      <c r="BX9" s="194">
        <f t="shared" si="11"/>
        <v>883.4749873579253</v>
      </c>
      <c r="BY9" s="194">
        <f t="shared" si="11"/>
        <v>861.388112673977</v>
      </c>
      <c r="BZ9" s="194">
        <f t="shared" si="11"/>
        <v>839.3012379900289</v>
      </c>
      <c r="CA9" s="194">
        <f t="shared" si="11"/>
        <v>817.2143633060808</v>
      </c>
      <c r="CB9" s="195">
        <f>SUM(BP9:CA9)</f>
        <v>11264.306088813548</v>
      </c>
      <c r="CC9" s="194">
        <f aca="true" t="shared" si="12" ref="CC9:CN9">CB12*$B$5/12</f>
        <v>795.1274886221325</v>
      </c>
      <c r="CD9" s="194">
        <f t="shared" si="12"/>
        <v>773.0406139381844</v>
      </c>
      <c r="CE9" s="194">
        <f t="shared" si="12"/>
        <v>750.9537392542361</v>
      </c>
      <c r="CF9" s="194">
        <f t="shared" si="12"/>
        <v>728.8668645702879</v>
      </c>
      <c r="CG9" s="194">
        <f t="shared" si="12"/>
        <v>706.7799898863399</v>
      </c>
      <c r="CH9" s="194">
        <f t="shared" si="12"/>
        <v>684.6931152023916</v>
      </c>
      <c r="CI9" s="194">
        <f t="shared" si="12"/>
        <v>662.6062405184433</v>
      </c>
      <c r="CJ9" s="194">
        <f t="shared" si="12"/>
        <v>640.5193658344953</v>
      </c>
      <c r="CK9" s="194">
        <f t="shared" si="12"/>
        <v>618.432491150547</v>
      </c>
      <c r="CL9" s="194">
        <f t="shared" si="12"/>
        <v>596.3456164665988</v>
      </c>
      <c r="CM9" s="194">
        <f t="shared" si="12"/>
        <v>574.2587417826506</v>
      </c>
      <c r="CN9" s="194">
        <f t="shared" si="12"/>
        <v>552.1718670987024</v>
      </c>
      <c r="CO9" s="195">
        <f>SUM(CC9:CN9)</f>
        <v>8083.796134325009</v>
      </c>
      <c r="CP9" s="194">
        <f aca="true" t="shared" si="13" ref="CP9:DA9">CO12*$B$5/12</f>
        <v>530.0849924147543</v>
      </c>
      <c r="CQ9" s="194">
        <f t="shared" si="13"/>
        <v>507.9981177308061</v>
      </c>
      <c r="CR9" s="194">
        <f t="shared" si="13"/>
        <v>485.91124304685786</v>
      </c>
      <c r="CS9" s="194">
        <f t="shared" si="13"/>
        <v>463.82436836290964</v>
      </c>
      <c r="CT9" s="194">
        <f t="shared" si="13"/>
        <v>441.73749367896147</v>
      </c>
      <c r="CU9" s="194">
        <f t="shared" si="13"/>
        <v>419.65061899501325</v>
      </c>
      <c r="CV9" s="194">
        <f t="shared" si="13"/>
        <v>397.56374431106514</v>
      </c>
      <c r="CW9" s="194">
        <f t="shared" si="13"/>
        <v>375.4768696271169</v>
      </c>
      <c r="CX9" s="194">
        <f t="shared" si="13"/>
        <v>353.3899949431688</v>
      </c>
      <c r="CY9" s="194">
        <f t="shared" si="13"/>
        <v>331.30312025922063</v>
      </c>
      <c r="CZ9" s="194">
        <f t="shared" si="13"/>
        <v>309.21624557527247</v>
      </c>
      <c r="DA9" s="194">
        <f t="shared" si="13"/>
        <v>287.1293708913243</v>
      </c>
      <c r="DB9" s="195">
        <f>SUM(CP9:DA9)</f>
        <v>4903.286179836471</v>
      </c>
      <c r="DC9" s="194">
        <f aca="true" t="shared" si="14" ref="DC9:DN9">DB12*$B$5/12</f>
        <v>265.0424962073762</v>
      </c>
      <c r="DD9" s="194">
        <f t="shared" si="14"/>
        <v>242.95562152342802</v>
      </c>
      <c r="DE9" s="194">
        <f t="shared" si="14"/>
        <v>220.86874683947988</v>
      </c>
      <c r="DF9" s="194">
        <f t="shared" si="14"/>
        <v>198.78187215553172</v>
      </c>
      <c r="DG9" s="194">
        <f t="shared" si="14"/>
        <v>176.6949974715836</v>
      </c>
      <c r="DH9" s="194">
        <f t="shared" si="14"/>
        <v>154.60812278763544</v>
      </c>
      <c r="DI9" s="194">
        <f t="shared" si="14"/>
        <v>132.52124810368727</v>
      </c>
      <c r="DJ9" s="194">
        <f t="shared" si="14"/>
        <v>110.43437341973913</v>
      </c>
      <c r="DK9" s="194">
        <f t="shared" si="14"/>
        <v>88.34749873579098</v>
      </c>
      <c r="DL9" s="194">
        <f t="shared" si="14"/>
        <v>66.26062405184284</v>
      </c>
      <c r="DM9" s="194">
        <f t="shared" si="14"/>
        <v>66.26062405184284</v>
      </c>
      <c r="DN9" s="194">
        <f t="shared" si="14"/>
        <v>66.26062405184284</v>
      </c>
      <c r="DO9" s="195">
        <f>SUM(DC9:DN9)</f>
        <v>1789.0368493997805</v>
      </c>
    </row>
    <row r="10" spans="1:120" ht="12.75" hidden="1">
      <c r="A10" s="188" t="s">
        <v>14</v>
      </c>
      <c r="B10" s="193">
        <f>O10+AB10+AO10+BB10+BO10+CB10+CO10+DB10+DO10</f>
        <v>272615.13895616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9"/>
      <c r="M10" s="199"/>
      <c r="N10" s="199"/>
      <c r="O10" s="195">
        <f>SUM(C10:N10)</f>
        <v>0</v>
      </c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5">
        <f>SUM(P10:AA10)</f>
        <v>0</v>
      </c>
      <c r="AC10" s="199"/>
      <c r="AD10" s="199"/>
      <c r="AE10" s="199"/>
      <c r="AF10" s="199"/>
      <c r="AG10" s="199"/>
      <c r="AH10" s="199"/>
      <c r="AI10" s="199"/>
      <c r="AJ10" s="199"/>
      <c r="AK10" s="199"/>
      <c r="AL10" s="194">
        <f>$AK$12/$B$13</f>
        <v>3786.321374391111</v>
      </c>
      <c r="AM10" s="194">
        <f aca="true" t="shared" si="15" ref="AM10:CY10">$AK$12/$B$13</f>
        <v>3786.321374391111</v>
      </c>
      <c r="AN10" s="194">
        <f t="shared" si="15"/>
        <v>3786.321374391111</v>
      </c>
      <c r="AO10" s="195">
        <f>SUM(AC10:AN10)</f>
        <v>11358.964123173333</v>
      </c>
      <c r="AP10" s="194">
        <f t="shared" si="15"/>
        <v>3786.321374391111</v>
      </c>
      <c r="AQ10" s="194">
        <f t="shared" si="15"/>
        <v>3786.321374391111</v>
      </c>
      <c r="AR10" s="194">
        <f t="shared" si="15"/>
        <v>3786.321374391111</v>
      </c>
      <c r="AS10" s="194">
        <f t="shared" si="15"/>
        <v>3786.321374391111</v>
      </c>
      <c r="AT10" s="194">
        <f t="shared" si="15"/>
        <v>3786.321374391111</v>
      </c>
      <c r="AU10" s="194">
        <f t="shared" si="15"/>
        <v>3786.321374391111</v>
      </c>
      <c r="AV10" s="194">
        <f t="shared" si="15"/>
        <v>3786.321374391111</v>
      </c>
      <c r="AW10" s="194">
        <f t="shared" si="15"/>
        <v>3786.321374391111</v>
      </c>
      <c r="AX10" s="194">
        <f t="shared" si="15"/>
        <v>3786.321374391111</v>
      </c>
      <c r="AY10" s="194">
        <f t="shared" si="15"/>
        <v>3786.321374391111</v>
      </c>
      <c r="AZ10" s="194">
        <f t="shared" si="15"/>
        <v>3786.321374391111</v>
      </c>
      <c r="BA10" s="194">
        <f t="shared" si="15"/>
        <v>3786.321374391111</v>
      </c>
      <c r="BB10" s="195">
        <f>SUM(AP10:BA10)</f>
        <v>45435.85649269333</v>
      </c>
      <c r="BC10" s="194">
        <f t="shared" si="15"/>
        <v>3786.321374391111</v>
      </c>
      <c r="BD10" s="194">
        <f t="shared" si="15"/>
        <v>3786.321374391111</v>
      </c>
      <c r="BE10" s="194">
        <f t="shared" si="15"/>
        <v>3786.321374391111</v>
      </c>
      <c r="BF10" s="194">
        <f t="shared" si="15"/>
        <v>3786.321374391111</v>
      </c>
      <c r="BG10" s="194">
        <f t="shared" si="15"/>
        <v>3786.321374391111</v>
      </c>
      <c r="BH10" s="194">
        <f t="shared" si="15"/>
        <v>3786.321374391111</v>
      </c>
      <c r="BI10" s="194">
        <f t="shared" si="15"/>
        <v>3786.321374391111</v>
      </c>
      <c r="BJ10" s="194">
        <f t="shared" si="15"/>
        <v>3786.321374391111</v>
      </c>
      <c r="BK10" s="194">
        <f t="shared" si="15"/>
        <v>3786.321374391111</v>
      </c>
      <c r="BL10" s="194">
        <f t="shared" si="15"/>
        <v>3786.321374391111</v>
      </c>
      <c r="BM10" s="194">
        <f t="shared" si="15"/>
        <v>3786.321374391111</v>
      </c>
      <c r="BN10" s="194">
        <f t="shared" si="15"/>
        <v>3786.321374391111</v>
      </c>
      <c r="BO10" s="195">
        <f>SUM(BC10:BN10)</f>
        <v>45435.85649269333</v>
      </c>
      <c r="BP10" s="194">
        <f t="shared" si="15"/>
        <v>3786.321374391111</v>
      </c>
      <c r="BQ10" s="194">
        <f t="shared" si="15"/>
        <v>3786.321374391111</v>
      </c>
      <c r="BR10" s="194">
        <f t="shared" si="15"/>
        <v>3786.321374391111</v>
      </c>
      <c r="BS10" s="194">
        <f t="shared" si="15"/>
        <v>3786.321374391111</v>
      </c>
      <c r="BT10" s="194">
        <f t="shared" si="15"/>
        <v>3786.321374391111</v>
      </c>
      <c r="BU10" s="194">
        <f t="shared" si="15"/>
        <v>3786.321374391111</v>
      </c>
      <c r="BV10" s="194">
        <f t="shared" si="15"/>
        <v>3786.321374391111</v>
      </c>
      <c r="BW10" s="194">
        <f t="shared" si="15"/>
        <v>3786.321374391111</v>
      </c>
      <c r="BX10" s="194">
        <f t="shared" si="15"/>
        <v>3786.321374391111</v>
      </c>
      <c r="BY10" s="194">
        <f t="shared" si="15"/>
        <v>3786.321374391111</v>
      </c>
      <c r="BZ10" s="194">
        <f t="shared" si="15"/>
        <v>3786.321374391111</v>
      </c>
      <c r="CA10" s="194">
        <f t="shared" si="15"/>
        <v>3786.321374391111</v>
      </c>
      <c r="CB10" s="195">
        <f>SUM(BP10:CA10)</f>
        <v>45435.85649269333</v>
      </c>
      <c r="CC10" s="194">
        <f t="shared" si="15"/>
        <v>3786.321374391111</v>
      </c>
      <c r="CD10" s="194">
        <f t="shared" si="15"/>
        <v>3786.321374391111</v>
      </c>
      <c r="CE10" s="194">
        <f t="shared" si="15"/>
        <v>3786.321374391111</v>
      </c>
      <c r="CF10" s="194">
        <f t="shared" si="15"/>
        <v>3786.321374391111</v>
      </c>
      <c r="CG10" s="194">
        <f t="shared" si="15"/>
        <v>3786.321374391111</v>
      </c>
      <c r="CH10" s="194">
        <f t="shared" si="15"/>
        <v>3786.321374391111</v>
      </c>
      <c r="CI10" s="194">
        <f t="shared" si="15"/>
        <v>3786.321374391111</v>
      </c>
      <c r="CJ10" s="194">
        <f t="shared" si="15"/>
        <v>3786.321374391111</v>
      </c>
      <c r="CK10" s="194">
        <f t="shared" si="15"/>
        <v>3786.321374391111</v>
      </c>
      <c r="CL10" s="194">
        <f t="shared" si="15"/>
        <v>3786.321374391111</v>
      </c>
      <c r="CM10" s="194">
        <f t="shared" si="15"/>
        <v>3786.321374391111</v>
      </c>
      <c r="CN10" s="194">
        <f t="shared" si="15"/>
        <v>3786.321374391111</v>
      </c>
      <c r="CO10" s="195">
        <f>SUM(CC10:CN10)</f>
        <v>45435.85649269333</v>
      </c>
      <c r="CP10" s="194">
        <f t="shared" si="15"/>
        <v>3786.321374391111</v>
      </c>
      <c r="CQ10" s="194">
        <f t="shared" si="15"/>
        <v>3786.321374391111</v>
      </c>
      <c r="CR10" s="194">
        <f t="shared" si="15"/>
        <v>3786.321374391111</v>
      </c>
      <c r="CS10" s="194">
        <f t="shared" si="15"/>
        <v>3786.321374391111</v>
      </c>
      <c r="CT10" s="194">
        <f t="shared" si="15"/>
        <v>3786.321374391111</v>
      </c>
      <c r="CU10" s="194">
        <f t="shared" si="15"/>
        <v>3786.321374391111</v>
      </c>
      <c r="CV10" s="194">
        <f t="shared" si="15"/>
        <v>3786.321374391111</v>
      </c>
      <c r="CW10" s="194">
        <f t="shared" si="15"/>
        <v>3786.321374391111</v>
      </c>
      <c r="CX10" s="194">
        <f t="shared" si="15"/>
        <v>3786.321374391111</v>
      </c>
      <c r="CY10" s="194">
        <f t="shared" si="15"/>
        <v>3786.321374391111</v>
      </c>
      <c r="CZ10" s="194">
        <f aca="true" t="shared" si="16" ref="CZ10:DK10">$AK$12/$B$13</f>
        <v>3786.321374391111</v>
      </c>
      <c r="DA10" s="194">
        <f t="shared" si="16"/>
        <v>3786.321374391111</v>
      </c>
      <c r="DB10" s="195">
        <f>SUM(CP10:DA10)</f>
        <v>45435.85649269333</v>
      </c>
      <c r="DC10" s="194">
        <f t="shared" si="16"/>
        <v>3786.321374391111</v>
      </c>
      <c r="DD10" s="194">
        <f t="shared" si="16"/>
        <v>3786.321374391111</v>
      </c>
      <c r="DE10" s="194">
        <f t="shared" si="16"/>
        <v>3786.321374391111</v>
      </c>
      <c r="DF10" s="194">
        <f t="shared" si="16"/>
        <v>3786.321374391111</v>
      </c>
      <c r="DG10" s="194">
        <f t="shared" si="16"/>
        <v>3786.321374391111</v>
      </c>
      <c r="DH10" s="194">
        <f t="shared" si="16"/>
        <v>3786.321374391111</v>
      </c>
      <c r="DI10" s="194">
        <f t="shared" si="16"/>
        <v>3786.321374391111</v>
      </c>
      <c r="DJ10" s="194">
        <f t="shared" si="16"/>
        <v>3786.321374391111</v>
      </c>
      <c r="DK10" s="194">
        <f t="shared" si="16"/>
        <v>3786.321374391111</v>
      </c>
      <c r="DL10" s="194"/>
      <c r="DM10" s="194"/>
      <c r="DN10" s="194"/>
      <c r="DO10" s="195">
        <f>SUM(DC10:DN10)</f>
        <v>34076.89236952</v>
      </c>
      <c r="DP10" s="196"/>
    </row>
    <row r="11" spans="1:120" ht="12.75" hidden="1">
      <c r="A11" s="188" t="s">
        <v>15</v>
      </c>
      <c r="B11" s="193">
        <f>O11+AB11+AO11+BB11+BO11+CB11+CO11+DB11+DO11</f>
        <v>63013.85347330401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9"/>
      <c r="M11" s="199"/>
      <c r="N11" s="199"/>
      <c r="O11" s="195">
        <f>SUM(C11:N11)</f>
        <v>0</v>
      </c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5">
        <f>SUM(P11:AA11)</f>
        <v>0</v>
      </c>
      <c r="AC11" s="199"/>
      <c r="AD11" s="199"/>
      <c r="AE11" s="199"/>
      <c r="AF11" s="199"/>
      <c r="AG11" s="199"/>
      <c r="AH11" s="199"/>
      <c r="AI11" s="199"/>
      <c r="AJ11" s="199"/>
      <c r="AK11" s="199"/>
      <c r="AL11" s="194">
        <f aca="true" t="shared" si="17" ref="AL11:BN11">AL9</f>
        <v>1656.5156012961113</v>
      </c>
      <c r="AM11" s="194">
        <f t="shared" si="17"/>
        <v>1634.428726612163</v>
      </c>
      <c r="AN11" s="194">
        <f t="shared" si="17"/>
        <v>1612.3418519282152</v>
      </c>
      <c r="AO11" s="195">
        <f>SUM(AC11:AN11)</f>
        <v>4903.286179836489</v>
      </c>
      <c r="AP11" s="194">
        <f t="shared" si="17"/>
        <v>1590.2549772442671</v>
      </c>
      <c r="AQ11" s="194">
        <f t="shared" si="17"/>
        <v>1568.168102560319</v>
      </c>
      <c r="AR11" s="194">
        <f t="shared" si="17"/>
        <v>1546.0812278763713</v>
      </c>
      <c r="AS11" s="194">
        <f t="shared" si="17"/>
        <v>1523.9943531924227</v>
      </c>
      <c r="AT11" s="194">
        <f t="shared" si="17"/>
        <v>1501.9074785084747</v>
      </c>
      <c r="AU11" s="194">
        <f t="shared" si="17"/>
        <v>1479.8206038245264</v>
      </c>
      <c r="AV11" s="194">
        <f t="shared" si="17"/>
        <v>1457.7337291405784</v>
      </c>
      <c r="AW11" s="194">
        <f t="shared" si="17"/>
        <v>1435.6468544566303</v>
      </c>
      <c r="AX11" s="194">
        <f t="shared" si="17"/>
        <v>1413.5599797726818</v>
      </c>
      <c r="AY11" s="194">
        <f t="shared" si="17"/>
        <v>1391.4731050887337</v>
      </c>
      <c r="AZ11" s="194">
        <f t="shared" si="17"/>
        <v>1369.3862304047855</v>
      </c>
      <c r="BA11" s="194">
        <f t="shared" si="17"/>
        <v>1347.2993557208374</v>
      </c>
      <c r="BB11" s="195">
        <f>SUM(AP11:BA11)</f>
        <v>17625.325997790627</v>
      </c>
      <c r="BC11" s="194">
        <f t="shared" si="17"/>
        <v>1325.2124810368891</v>
      </c>
      <c r="BD11" s="194">
        <f t="shared" si="17"/>
        <v>1303.125606352941</v>
      </c>
      <c r="BE11" s="194">
        <f t="shared" si="17"/>
        <v>1281.0387316689928</v>
      </c>
      <c r="BF11" s="194">
        <f t="shared" si="17"/>
        <v>1258.9518569850445</v>
      </c>
      <c r="BG11" s="194">
        <f t="shared" si="17"/>
        <v>1236.8649823010962</v>
      </c>
      <c r="BH11" s="194">
        <f t="shared" si="17"/>
        <v>1214.7781076171482</v>
      </c>
      <c r="BI11" s="194">
        <f t="shared" si="17"/>
        <v>1192.6912329332001</v>
      </c>
      <c r="BJ11" s="194">
        <f t="shared" si="17"/>
        <v>1170.6043582492518</v>
      </c>
      <c r="BK11" s="194">
        <f t="shared" si="17"/>
        <v>1148.5174835653036</v>
      </c>
      <c r="BL11" s="194">
        <f t="shared" si="17"/>
        <v>1126.4306088813553</v>
      </c>
      <c r="BM11" s="194">
        <f t="shared" si="17"/>
        <v>1104.3437341974072</v>
      </c>
      <c r="BN11" s="194">
        <f t="shared" si="17"/>
        <v>1082.2568595134592</v>
      </c>
      <c r="BO11" s="195">
        <f>SUM(BC11:BN11)</f>
        <v>14444.816043302091</v>
      </c>
      <c r="BP11" s="194">
        <f aca="true" t="shared" si="18" ref="BP11:CA11">BP9</f>
        <v>1060.169984829511</v>
      </c>
      <c r="BQ11" s="194">
        <f t="shared" si="18"/>
        <v>1038.0831101455626</v>
      </c>
      <c r="BR11" s="194">
        <f t="shared" si="18"/>
        <v>1015.9962354616144</v>
      </c>
      <c r="BS11" s="194">
        <f t="shared" si="18"/>
        <v>993.9093607776663</v>
      </c>
      <c r="BT11" s="194">
        <f t="shared" si="18"/>
        <v>971.8224860937181</v>
      </c>
      <c r="BU11" s="194">
        <f t="shared" si="18"/>
        <v>949.7356114097698</v>
      </c>
      <c r="BV11" s="194">
        <f t="shared" si="18"/>
        <v>927.6487367258218</v>
      </c>
      <c r="BW11" s="194">
        <f t="shared" si="18"/>
        <v>905.5618620418735</v>
      </c>
      <c r="BX11" s="194">
        <f t="shared" si="18"/>
        <v>883.4749873579253</v>
      </c>
      <c r="BY11" s="194">
        <f t="shared" si="18"/>
        <v>861.388112673977</v>
      </c>
      <c r="BZ11" s="194">
        <f t="shared" si="18"/>
        <v>839.3012379900289</v>
      </c>
      <c r="CA11" s="194">
        <f t="shared" si="18"/>
        <v>817.2143633060808</v>
      </c>
      <c r="CB11" s="195">
        <f>SUM(BP11:CA11)</f>
        <v>11264.306088813548</v>
      </c>
      <c r="CC11" s="194">
        <f aca="true" t="shared" si="19" ref="CC11:CN11">CC9</f>
        <v>795.1274886221325</v>
      </c>
      <c r="CD11" s="194">
        <f t="shared" si="19"/>
        <v>773.0406139381844</v>
      </c>
      <c r="CE11" s="194">
        <f t="shared" si="19"/>
        <v>750.9537392542361</v>
      </c>
      <c r="CF11" s="194">
        <f t="shared" si="19"/>
        <v>728.8668645702879</v>
      </c>
      <c r="CG11" s="194">
        <f t="shared" si="19"/>
        <v>706.7799898863399</v>
      </c>
      <c r="CH11" s="194">
        <f t="shared" si="19"/>
        <v>684.6931152023916</v>
      </c>
      <c r="CI11" s="194">
        <f t="shared" si="19"/>
        <v>662.6062405184433</v>
      </c>
      <c r="CJ11" s="194">
        <f t="shared" si="19"/>
        <v>640.5193658344953</v>
      </c>
      <c r="CK11" s="194">
        <f t="shared" si="19"/>
        <v>618.432491150547</v>
      </c>
      <c r="CL11" s="194">
        <f t="shared" si="19"/>
        <v>596.3456164665988</v>
      </c>
      <c r="CM11" s="194">
        <f t="shared" si="19"/>
        <v>574.2587417826506</v>
      </c>
      <c r="CN11" s="194">
        <f t="shared" si="19"/>
        <v>552.1718670987024</v>
      </c>
      <c r="CO11" s="195">
        <f>SUM(CC11:CN11)</f>
        <v>8083.796134325009</v>
      </c>
      <c r="CP11" s="194">
        <f aca="true" t="shared" si="20" ref="CP11:DA11">CP9</f>
        <v>530.0849924147543</v>
      </c>
      <c r="CQ11" s="194">
        <f t="shared" si="20"/>
        <v>507.9981177308061</v>
      </c>
      <c r="CR11" s="194">
        <f t="shared" si="20"/>
        <v>485.91124304685786</v>
      </c>
      <c r="CS11" s="194">
        <f t="shared" si="20"/>
        <v>463.82436836290964</v>
      </c>
      <c r="CT11" s="194">
        <f t="shared" si="20"/>
        <v>441.73749367896147</v>
      </c>
      <c r="CU11" s="194">
        <f t="shared" si="20"/>
        <v>419.65061899501325</v>
      </c>
      <c r="CV11" s="194">
        <f t="shared" si="20"/>
        <v>397.56374431106514</v>
      </c>
      <c r="CW11" s="194">
        <f t="shared" si="20"/>
        <v>375.4768696271169</v>
      </c>
      <c r="CX11" s="194">
        <f t="shared" si="20"/>
        <v>353.3899949431688</v>
      </c>
      <c r="CY11" s="194">
        <f t="shared" si="20"/>
        <v>331.30312025922063</v>
      </c>
      <c r="CZ11" s="194">
        <f t="shared" si="20"/>
        <v>309.21624557527247</v>
      </c>
      <c r="DA11" s="194">
        <f t="shared" si="20"/>
        <v>287.1293708913243</v>
      </c>
      <c r="DB11" s="195">
        <f>SUM(CP11:DA11)</f>
        <v>4903.286179836471</v>
      </c>
      <c r="DC11" s="194">
        <f aca="true" t="shared" si="21" ref="DC11:DN11">DC9</f>
        <v>265.0424962073762</v>
      </c>
      <c r="DD11" s="194">
        <f t="shared" si="21"/>
        <v>242.95562152342802</v>
      </c>
      <c r="DE11" s="194">
        <f t="shared" si="21"/>
        <v>220.86874683947988</v>
      </c>
      <c r="DF11" s="194">
        <f t="shared" si="21"/>
        <v>198.78187215553172</v>
      </c>
      <c r="DG11" s="194">
        <f t="shared" si="21"/>
        <v>176.6949974715836</v>
      </c>
      <c r="DH11" s="194">
        <f t="shared" si="21"/>
        <v>154.60812278763544</v>
      </c>
      <c r="DI11" s="194">
        <f t="shared" si="21"/>
        <v>132.52124810368727</v>
      </c>
      <c r="DJ11" s="194">
        <f t="shared" si="21"/>
        <v>110.43437341973913</v>
      </c>
      <c r="DK11" s="194">
        <f t="shared" si="21"/>
        <v>88.34749873579098</v>
      </c>
      <c r="DL11" s="194">
        <f t="shared" si="21"/>
        <v>66.26062405184284</v>
      </c>
      <c r="DM11" s="194">
        <f t="shared" si="21"/>
        <v>66.26062405184284</v>
      </c>
      <c r="DN11" s="194">
        <f t="shared" si="21"/>
        <v>66.26062405184284</v>
      </c>
      <c r="DO11" s="195">
        <f>SUM(DC11:DN11)</f>
        <v>1789.0368493997805</v>
      </c>
      <c r="DP11" s="196" t="s">
        <v>58</v>
      </c>
    </row>
    <row r="12" spans="1:120" ht="12.75" hidden="1">
      <c r="A12" s="188" t="s">
        <v>16</v>
      </c>
      <c r="B12" s="193">
        <f>DO12</f>
        <v>11358.964123173057</v>
      </c>
      <c r="C12" s="194">
        <f>C7</f>
        <v>0</v>
      </c>
      <c r="D12" s="194">
        <f>C12+D7-D10+D8</f>
        <v>0</v>
      </c>
      <c r="E12" s="194">
        <f>D12+E7-E10+E8</f>
        <v>0</v>
      </c>
      <c r="F12" s="194">
        <f>E12+F7-F10+F8</f>
        <v>0</v>
      </c>
      <c r="G12" s="194">
        <f aca="true" t="shared" si="22" ref="G12:L12">F12+G7-G10+G8</f>
        <v>0</v>
      </c>
      <c r="H12" s="194">
        <f>G12+H7-H10+H8</f>
        <v>0</v>
      </c>
      <c r="I12" s="194">
        <f t="shared" si="22"/>
        <v>0</v>
      </c>
      <c r="J12" s="194">
        <f t="shared" si="22"/>
        <v>70381.4412</v>
      </c>
      <c r="K12" s="194">
        <f t="shared" si="22"/>
        <v>91016.1912</v>
      </c>
      <c r="L12" s="194">
        <f t="shared" si="22"/>
        <v>189562.0932</v>
      </c>
      <c r="M12" s="194">
        <f>L12+M7-M10+M8</f>
        <v>249861.304</v>
      </c>
      <c r="N12" s="194">
        <f>M12+N7-N10+N8</f>
        <v>249861.304</v>
      </c>
      <c r="O12" s="195">
        <f>N12</f>
        <v>249861.304</v>
      </c>
      <c r="P12" s="194">
        <f>O12+P7-P10+P8</f>
        <v>249861.304</v>
      </c>
      <c r="Q12" s="194">
        <f aca="true" t="shared" si="23" ref="Q12:Z12">P12+Q7-Q10+Q8</f>
        <v>249861.304</v>
      </c>
      <c r="R12" s="194">
        <f t="shared" si="23"/>
        <v>249861.304</v>
      </c>
      <c r="S12" s="194">
        <f t="shared" si="23"/>
        <v>249861.304</v>
      </c>
      <c r="T12" s="194">
        <f t="shared" si="23"/>
        <v>249861.304</v>
      </c>
      <c r="U12" s="194">
        <f t="shared" si="23"/>
        <v>249861.304</v>
      </c>
      <c r="V12" s="194">
        <f t="shared" si="23"/>
        <v>249861.304</v>
      </c>
      <c r="W12" s="194">
        <f t="shared" si="23"/>
        <v>249861.304</v>
      </c>
      <c r="X12" s="194">
        <f t="shared" si="23"/>
        <v>249861.304</v>
      </c>
      <c r="Y12" s="194">
        <f t="shared" si="23"/>
        <v>249861.304</v>
      </c>
      <c r="Z12" s="194">
        <f t="shared" si="23"/>
        <v>249861.304</v>
      </c>
      <c r="AA12" s="194">
        <f>Z12+AA7-AA10+AA8</f>
        <v>249861.304</v>
      </c>
      <c r="AB12" s="195">
        <f>AA12</f>
        <v>249861.304</v>
      </c>
      <c r="AC12" s="194">
        <f>AB12+AC7-AC10+AC8</f>
        <v>249861.304</v>
      </c>
      <c r="AD12" s="194">
        <f aca="true" t="shared" si="24" ref="AD12:AN12">AC12+AD7-AD10+AD8</f>
        <v>249861.304</v>
      </c>
      <c r="AE12" s="194">
        <f t="shared" si="24"/>
        <v>249861.304</v>
      </c>
      <c r="AF12" s="194">
        <f t="shared" si="24"/>
        <v>249861.304</v>
      </c>
      <c r="AG12" s="194">
        <f t="shared" si="24"/>
        <v>249861.304</v>
      </c>
      <c r="AH12" s="194">
        <f t="shared" si="24"/>
        <v>249861.304</v>
      </c>
      <c r="AI12" s="194">
        <f t="shared" si="24"/>
        <v>249861.304</v>
      </c>
      <c r="AJ12" s="194">
        <f t="shared" si="24"/>
        <v>249861.304</v>
      </c>
      <c r="AK12" s="194">
        <f t="shared" si="24"/>
        <v>283974.1030793333</v>
      </c>
      <c r="AL12" s="194">
        <f t="shared" si="24"/>
        <v>280187.78170494223</v>
      </c>
      <c r="AM12" s="194">
        <f t="shared" si="24"/>
        <v>276401.46033055114</v>
      </c>
      <c r="AN12" s="194">
        <f t="shared" si="24"/>
        <v>272615.13895616005</v>
      </c>
      <c r="AO12" s="195">
        <f>AN12</f>
        <v>272615.13895616005</v>
      </c>
      <c r="AP12" s="194">
        <f>AO12+AP7-AP10+AP8</f>
        <v>268828.81758176896</v>
      </c>
      <c r="AQ12" s="194">
        <f aca="true" t="shared" si="25" ref="AQ12:BA12">AP12+AQ7-AQ10+AQ8</f>
        <v>265042.4962073779</v>
      </c>
      <c r="AR12" s="194">
        <f t="shared" si="25"/>
        <v>261256.17483298676</v>
      </c>
      <c r="AS12" s="194">
        <f t="shared" si="25"/>
        <v>257469.85345859564</v>
      </c>
      <c r="AT12" s="194">
        <f t="shared" si="25"/>
        <v>253683.53208420452</v>
      </c>
      <c r="AU12" s="194">
        <f t="shared" si="25"/>
        <v>249897.2107098134</v>
      </c>
      <c r="AV12" s="194">
        <f t="shared" si="25"/>
        <v>246110.88933542228</v>
      </c>
      <c r="AW12" s="194">
        <f t="shared" si="25"/>
        <v>242324.56796103116</v>
      </c>
      <c r="AX12" s="194">
        <f t="shared" si="25"/>
        <v>238538.24658664005</v>
      </c>
      <c r="AY12" s="194">
        <f t="shared" si="25"/>
        <v>234751.92521224893</v>
      </c>
      <c r="AZ12" s="194">
        <f t="shared" si="25"/>
        <v>230965.6038378578</v>
      </c>
      <c r="BA12" s="194">
        <f t="shared" si="25"/>
        <v>227179.2824634667</v>
      </c>
      <c r="BB12" s="195">
        <f>BA12</f>
        <v>227179.2824634667</v>
      </c>
      <c r="BC12" s="194">
        <f>BB12+BC7-BC10+BC8</f>
        <v>223392.96108907557</v>
      </c>
      <c r="BD12" s="194">
        <f aca="true" t="shared" si="26" ref="BD12:BN12">BC12+BD7-BD10+BD8</f>
        <v>219606.63971468445</v>
      </c>
      <c r="BE12" s="194">
        <f t="shared" si="26"/>
        <v>215820.31834029334</v>
      </c>
      <c r="BF12" s="194">
        <f t="shared" si="26"/>
        <v>212033.99696590222</v>
      </c>
      <c r="BG12" s="194">
        <f t="shared" si="26"/>
        <v>208247.6755915111</v>
      </c>
      <c r="BH12" s="194">
        <f t="shared" si="26"/>
        <v>204461.35421711998</v>
      </c>
      <c r="BI12" s="194">
        <f t="shared" si="26"/>
        <v>200675.03284272886</v>
      </c>
      <c r="BJ12" s="194">
        <f t="shared" si="26"/>
        <v>196888.71146833774</v>
      </c>
      <c r="BK12" s="194">
        <f t="shared" si="26"/>
        <v>193102.39009394663</v>
      </c>
      <c r="BL12" s="194">
        <f t="shared" si="26"/>
        <v>189316.0687195555</v>
      </c>
      <c r="BM12" s="194">
        <f t="shared" si="26"/>
        <v>185529.7473451644</v>
      </c>
      <c r="BN12" s="194">
        <f t="shared" si="26"/>
        <v>181743.42597077327</v>
      </c>
      <c r="BO12" s="195">
        <f>BN12</f>
        <v>181743.42597077327</v>
      </c>
      <c r="BP12" s="194">
        <f aca="true" t="shared" si="27" ref="BP12:CA12">BO12+BP7-BP10+BP8</f>
        <v>177957.10459638215</v>
      </c>
      <c r="BQ12" s="194">
        <f t="shared" si="27"/>
        <v>174170.78322199103</v>
      </c>
      <c r="BR12" s="194">
        <f t="shared" si="27"/>
        <v>170384.46184759992</v>
      </c>
      <c r="BS12" s="194">
        <f t="shared" si="27"/>
        <v>166598.1404732088</v>
      </c>
      <c r="BT12" s="194">
        <f t="shared" si="27"/>
        <v>162811.81909881768</v>
      </c>
      <c r="BU12" s="194">
        <f t="shared" si="27"/>
        <v>159025.49772442656</v>
      </c>
      <c r="BV12" s="194">
        <f t="shared" si="27"/>
        <v>155239.17635003544</v>
      </c>
      <c r="BW12" s="194">
        <f t="shared" si="27"/>
        <v>151452.85497564432</v>
      </c>
      <c r="BX12" s="194">
        <f t="shared" si="27"/>
        <v>147666.5336012532</v>
      </c>
      <c r="BY12" s="194">
        <f t="shared" si="27"/>
        <v>143880.2122268621</v>
      </c>
      <c r="BZ12" s="194">
        <f t="shared" si="27"/>
        <v>140093.89085247097</v>
      </c>
      <c r="CA12" s="194">
        <f t="shared" si="27"/>
        <v>136307.56947807985</v>
      </c>
      <c r="CB12" s="195">
        <f>CA12</f>
        <v>136307.56947807985</v>
      </c>
      <c r="CC12" s="194">
        <f aca="true" t="shared" si="28" ref="CC12:CN12">CB12+CC7-CC10+CC8</f>
        <v>132521.24810368873</v>
      </c>
      <c r="CD12" s="194">
        <f t="shared" si="28"/>
        <v>128734.92672929761</v>
      </c>
      <c r="CE12" s="194">
        <f t="shared" si="28"/>
        <v>124948.6053549065</v>
      </c>
      <c r="CF12" s="194">
        <f t="shared" si="28"/>
        <v>121162.28398051538</v>
      </c>
      <c r="CG12" s="194">
        <f t="shared" si="28"/>
        <v>117375.96260612426</v>
      </c>
      <c r="CH12" s="194">
        <f t="shared" si="28"/>
        <v>113589.64123173314</v>
      </c>
      <c r="CI12" s="194">
        <f t="shared" si="28"/>
        <v>109803.31985734202</v>
      </c>
      <c r="CJ12" s="194">
        <f t="shared" si="28"/>
        <v>106016.9984829509</v>
      </c>
      <c r="CK12" s="194">
        <f t="shared" si="28"/>
        <v>102230.67710855979</v>
      </c>
      <c r="CL12" s="194">
        <f t="shared" si="28"/>
        <v>98444.35573416867</v>
      </c>
      <c r="CM12" s="194">
        <f t="shared" si="28"/>
        <v>94658.03435977755</v>
      </c>
      <c r="CN12" s="194">
        <f t="shared" si="28"/>
        <v>90871.71298538643</v>
      </c>
      <c r="CO12" s="195">
        <f>CN12</f>
        <v>90871.71298538643</v>
      </c>
      <c r="CP12" s="194">
        <f aca="true" t="shared" si="29" ref="CP12:DA12">CO12+CP7-CP10+CP8</f>
        <v>87085.39161099531</v>
      </c>
      <c r="CQ12" s="194">
        <f t="shared" si="29"/>
        <v>83299.0702366042</v>
      </c>
      <c r="CR12" s="194">
        <f t="shared" si="29"/>
        <v>79512.74886221308</v>
      </c>
      <c r="CS12" s="194">
        <f t="shared" si="29"/>
        <v>75726.42748782196</v>
      </c>
      <c r="CT12" s="194">
        <f t="shared" si="29"/>
        <v>71940.10611343084</v>
      </c>
      <c r="CU12" s="194">
        <f t="shared" si="29"/>
        <v>68153.78473903972</v>
      </c>
      <c r="CV12" s="194">
        <f t="shared" si="29"/>
        <v>64367.46336464861</v>
      </c>
      <c r="CW12" s="194">
        <f t="shared" si="29"/>
        <v>60581.1419902575</v>
      </c>
      <c r="CX12" s="194">
        <f t="shared" si="29"/>
        <v>56794.82061586639</v>
      </c>
      <c r="CY12" s="194">
        <f t="shared" si="29"/>
        <v>53008.49924147528</v>
      </c>
      <c r="CZ12" s="194">
        <f t="shared" si="29"/>
        <v>49222.17786708417</v>
      </c>
      <c r="DA12" s="194">
        <f t="shared" si="29"/>
        <v>45435.856492693056</v>
      </c>
      <c r="DB12" s="195">
        <f>DA12</f>
        <v>45435.856492693056</v>
      </c>
      <c r="DC12" s="194">
        <f aca="true" t="shared" si="30" ref="DC12:DN12">DB12+DC7-DC10+DC8</f>
        <v>41649.535118301945</v>
      </c>
      <c r="DD12" s="194">
        <f t="shared" si="30"/>
        <v>37863.213743910834</v>
      </c>
      <c r="DE12" s="194">
        <f t="shared" si="30"/>
        <v>34076.89236951972</v>
      </c>
      <c r="DF12" s="194">
        <f t="shared" si="30"/>
        <v>30290.57099512861</v>
      </c>
      <c r="DG12" s="194">
        <f t="shared" si="30"/>
        <v>26504.2496207375</v>
      </c>
      <c r="DH12" s="194">
        <f t="shared" si="30"/>
        <v>22717.92824634639</v>
      </c>
      <c r="DI12" s="194">
        <f t="shared" si="30"/>
        <v>18931.60687195528</v>
      </c>
      <c r="DJ12" s="194">
        <f t="shared" si="30"/>
        <v>15145.285497564168</v>
      </c>
      <c r="DK12" s="194">
        <f t="shared" si="30"/>
        <v>11358.964123173057</v>
      </c>
      <c r="DL12" s="194">
        <f t="shared" si="30"/>
        <v>11358.964123173057</v>
      </c>
      <c r="DM12" s="194">
        <f t="shared" si="30"/>
        <v>11358.964123173057</v>
      </c>
      <c r="DN12" s="194">
        <f t="shared" si="30"/>
        <v>11358.964123173057</v>
      </c>
      <c r="DO12" s="195">
        <f>DN12</f>
        <v>11358.964123173057</v>
      </c>
      <c r="DP12" s="200">
        <f>MAX(C12:BO12)</f>
        <v>283974.1030793333</v>
      </c>
    </row>
    <row r="13" spans="1:120" ht="12.75" hidden="1">
      <c r="A13" s="177" t="s">
        <v>78</v>
      </c>
      <c r="B13" s="177">
        <f>Исх!C49*12-Исх!C50</f>
        <v>75</v>
      </c>
      <c r="DP13" s="180"/>
    </row>
    <row r="14" ht="12.75" hidden="1"/>
    <row r="15" ht="12.75" hidden="1">
      <c r="A15" s="271" t="s">
        <v>244</v>
      </c>
    </row>
    <row r="16" ht="12.75" hidden="1" outlineLevel="1">
      <c r="A16" s="272">
        <f>B7+B8-B10</f>
        <v>11358.964123173326</v>
      </c>
    </row>
    <row r="17" ht="12.75" hidden="1" outlineLevel="1">
      <c r="A17" s="272">
        <f>B9-B8-B11</f>
        <v>0</v>
      </c>
    </row>
    <row r="18" ht="12.75" hidden="1" collapsed="1"/>
    <row r="19" spans="1:119" ht="12.75">
      <c r="A19" s="297" t="s">
        <v>280</v>
      </c>
      <c r="B19" s="298"/>
      <c r="DB19" s="177"/>
      <c r="DO19" s="177"/>
    </row>
    <row r="20" spans="1:119" ht="15.75" customHeight="1">
      <c r="A20" s="186" t="s">
        <v>11</v>
      </c>
      <c r="B20" s="287">
        <f>Исх!C48</f>
        <v>0.07</v>
      </c>
      <c r="C20" s="363">
        <v>2013</v>
      </c>
      <c r="D20" s="363"/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>
        <v>2014</v>
      </c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>
        <v>2015</v>
      </c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363"/>
      <c r="AP20" s="363">
        <v>2016</v>
      </c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>
        <v>2017</v>
      </c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>
        <v>2018</v>
      </c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>
        <v>2019</v>
      </c>
      <c r="CD20" s="363"/>
      <c r="CE20" s="363"/>
      <c r="CF20" s="363"/>
      <c r="CG20" s="363"/>
      <c r="CH20" s="363"/>
      <c r="CI20" s="363"/>
      <c r="CJ20" s="363"/>
      <c r="CK20" s="363"/>
      <c r="CL20" s="363"/>
      <c r="CM20" s="363"/>
      <c r="CN20" s="363"/>
      <c r="CO20" s="363"/>
      <c r="CP20" s="363">
        <v>2020</v>
      </c>
      <c r="CQ20" s="363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>
        <v>2021</v>
      </c>
      <c r="DD20" s="363"/>
      <c r="DE20" s="363"/>
      <c r="DF20" s="363"/>
      <c r="DG20" s="363"/>
      <c r="DH20" s="363"/>
      <c r="DI20" s="363"/>
      <c r="DJ20" s="363"/>
      <c r="DK20" s="363"/>
      <c r="DL20" s="363"/>
      <c r="DM20" s="363"/>
      <c r="DN20" s="363"/>
      <c r="DO20" s="363"/>
    </row>
    <row r="21" spans="1:119" s="192" customFormat="1" ht="15" customHeight="1">
      <c r="A21" s="188" t="s">
        <v>9</v>
      </c>
      <c r="B21" s="189" t="s">
        <v>89</v>
      </c>
      <c r="C21" s="190">
        <v>1</v>
      </c>
      <c r="D21" s="190">
        <v>2</v>
      </c>
      <c r="E21" s="190">
        <f aca="true" t="shared" si="31" ref="E21:N21">D21+1</f>
        <v>3</v>
      </c>
      <c r="F21" s="190">
        <f t="shared" si="31"/>
        <v>4</v>
      </c>
      <c r="G21" s="190">
        <f t="shared" si="31"/>
        <v>5</v>
      </c>
      <c r="H21" s="190">
        <f t="shared" si="31"/>
        <v>6</v>
      </c>
      <c r="I21" s="190">
        <f t="shared" si="31"/>
        <v>7</v>
      </c>
      <c r="J21" s="190">
        <f t="shared" si="31"/>
        <v>8</v>
      </c>
      <c r="K21" s="190">
        <f t="shared" si="31"/>
        <v>9</v>
      </c>
      <c r="L21" s="190">
        <f t="shared" si="31"/>
        <v>10</v>
      </c>
      <c r="M21" s="190">
        <f t="shared" si="31"/>
        <v>11</v>
      </c>
      <c r="N21" s="190">
        <f t="shared" si="31"/>
        <v>12</v>
      </c>
      <c r="O21" s="191" t="s">
        <v>0</v>
      </c>
      <c r="P21" s="190">
        <v>1</v>
      </c>
      <c r="Q21" s="190">
        <v>2</v>
      </c>
      <c r="R21" s="190">
        <f aca="true" t="shared" si="32" ref="R21:AA21">Q21+1</f>
        <v>3</v>
      </c>
      <c r="S21" s="190">
        <f t="shared" si="32"/>
        <v>4</v>
      </c>
      <c r="T21" s="190">
        <f t="shared" si="32"/>
        <v>5</v>
      </c>
      <c r="U21" s="190">
        <f t="shared" si="32"/>
        <v>6</v>
      </c>
      <c r="V21" s="190">
        <f t="shared" si="32"/>
        <v>7</v>
      </c>
      <c r="W21" s="190">
        <f t="shared" si="32"/>
        <v>8</v>
      </c>
      <c r="X21" s="190">
        <f t="shared" si="32"/>
        <v>9</v>
      </c>
      <c r="Y21" s="190">
        <f t="shared" si="32"/>
        <v>10</v>
      </c>
      <c r="Z21" s="190">
        <f t="shared" si="32"/>
        <v>11</v>
      </c>
      <c r="AA21" s="190">
        <f t="shared" si="32"/>
        <v>12</v>
      </c>
      <c r="AB21" s="191" t="str">
        <f>AB6</f>
        <v>Итого</v>
      </c>
      <c r="AC21" s="190">
        <v>1</v>
      </c>
      <c r="AD21" s="190">
        <v>2</v>
      </c>
      <c r="AE21" s="190">
        <f aca="true" t="shared" si="33" ref="AE21:AN21">AD21+1</f>
        <v>3</v>
      </c>
      <c r="AF21" s="190">
        <f t="shared" si="33"/>
        <v>4</v>
      </c>
      <c r="AG21" s="190">
        <f t="shared" si="33"/>
        <v>5</v>
      </c>
      <c r="AH21" s="190">
        <f t="shared" si="33"/>
        <v>6</v>
      </c>
      <c r="AI21" s="190">
        <f t="shared" si="33"/>
        <v>7</v>
      </c>
      <c r="AJ21" s="190">
        <f t="shared" si="33"/>
        <v>8</v>
      </c>
      <c r="AK21" s="190">
        <f t="shared" si="33"/>
        <v>9</v>
      </c>
      <c r="AL21" s="190">
        <f t="shared" si="33"/>
        <v>10</v>
      </c>
      <c r="AM21" s="190">
        <f t="shared" si="33"/>
        <v>11</v>
      </c>
      <c r="AN21" s="190">
        <f t="shared" si="33"/>
        <v>12</v>
      </c>
      <c r="AO21" s="191" t="str">
        <f>AO6</f>
        <v>Итого</v>
      </c>
      <c r="AP21" s="190">
        <v>1</v>
      </c>
      <c r="AQ21" s="190">
        <v>2</v>
      </c>
      <c r="AR21" s="190">
        <f aca="true" t="shared" si="34" ref="AR21:BA21">AQ21+1</f>
        <v>3</v>
      </c>
      <c r="AS21" s="190">
        <f t="shared" si="34"/>
        <v>4</v>
      </c>
      <c r="AT21" s="190">
        <f t="shared" si="34"/>
        <v>5</v>
      </c>
      <c r="AU21" s="190">
        <f t="shared" si="34"/>
        <v>6</v>
      </c>
      <c r="AV21" s="190">
        <f t="shared" si="34"/>
        <v>7</v>
      </c>
      <c r="AW21" s="190">
        <f t="shared" si="34"/>
        <v>8</v>
      </c>
      <c r="AX21" s="190">
        <f t="shared" si="34"/>
        <v>9</v>
      </c>
      <c r="AY21" s="190">
        <f t="shared" si="34"/>
        <v>10</v>
      </c>
      <c r="AZ21" s="190">
        <f t="shared" si="34"/>
        <v>11</v>
      </c>
      <c r="BA21" s="190">
        <f t="shared" si="34"/>
        <v>12</v>
      </c>
      <c r="BB21" s="191" t="str">
        <f>BB6</f>
        <v>Итого</v>
      </c>
      <c r="BC21" s="190">
        <v>1</v>
      </c>
      <c r="BD21" s="190">
        <v>2</v>
      </c>
      <c r="BE21" s="190">
        <f aca="true" t="shared" si="35" ref="BE21:BN21">BD21+1</f>
        <v>3</v>
      </c>
      <c r="BF21" s="190">
        <f t="shared" si="35"/>
        <v>4</v>
      </c>
      <c r="BG21" s="190">
        <f t="shared" si="35"/>
        <v>5</v>
      </c>
      <c r="BH21" s="190">
        <f t="shared" si="35"/>
        <v>6</v>
      </c>
      <c r="BI21" s="190">
        <f t="shared" si="35"/>
        <v>7</v>
      </c>
      <c r="BJ21" s="190">
        <f t="shared" si="35"/>
        <v>8</v>
      </c>
      <c r="BK21" s="190">
        <f t="shared" si="35"/>
        <v>9</v>
      </c>
      <c r="BL21" s="190">
        <f t="shared" si="35"/>
        <v>10</v>
      </c>
      <c r="BM21" s="190">
        <f t="shared" si="35"/>
        <v>11</v>
      </c>
      <c r="BN21" s="190">
        <f t="shared" si="35"/>
        <v>12</v>
      </c>
      <c r="BO21" s="191" t="str">
        <f>BO6</f>
        <v>Итого</v>
      </c>
      <c r="BP21" s="190">
        <v>1</v>
      </c>
      <c r="BQ21" s="190">
        <v>2</v>
      </c>
      <c r="BR21" s="190">
        <f aca="true" t="shared" si="36" ref="BR21:CA21">BQ21+1</f>
        <v>3</v>
      </c>
      <c r="BS21" s="190">
        <f t="shared" si="36"/>
        <v>4</v>
      </c>
      <c r="BT21" s="190">
        <f t="shared" si="36"/>
        <v>5</v>
      </c>
      <c r="BU21" s="190">
        <f t="shared" si="36"/>
        <v>6</v>
      </c>
      <c r="BV21" s="190">
        <f t="shared" si="36"/>
        <v>7</v>
      </c>
      <c r="BW21" s="190">
        <f t="shared" si="36"/>
        <v>8</v>
      </c>
      <c r="BX21" s="190">
        <f t="shared" si="36"/>
        <v>9</v>
      </c>
      <c r="BY21" s="190">
        <f t="shared" si="36"/>
        <v>10</v>
      </c>
      <c r="BZ21" s="190">
        <f t="shared" si="36"/>
        <v>11</v>
      </c>
      <c r="CA21" s="190">
        <f t="shared" si="36"/>
        <v>12</v>
      </c>
      <c r="CB21" s="191" t="str">
        <f>CB6</f>
        <v>Итого</v>
      </c>
      <c r="CC21" s="190">
        <v>1</v>
      </c>
      <c r="CD21" s="190">
        <v>2</v>
      </c>
      <c r="CE21" s="190">
        <f aca="true" t="shared" si="37" ref="CE21:CN21">CD21+1</f>
        <v>3</v>
      </c>
      <c r="CF21" s="190">
        <f t="shared" si="37"/>
        <v>4</v>
      </c>
      <c r="CG21" s="190">
        <f t="shared" si="37"/>
        <v>5</v>
      </c>
      <c r="CH21" s="190">
        <f t="shared" si="37"/>
        <v>6</v>
      </c>
      <c r="CI21" s="190">
        <f t="shared" si="37"/>
        <v>7</v>
      </c>
      <c r="CJ21" s="190">
        <f t="shared" si="37"/>
        <v>8</v>
      </c>
      <c r="CK21" s="190">
        <f t="shared" si="37"/>
        <v>9</v>
      </c>
      <c r="CL21" s="190">
        <f t="shared" si="37"/>
        <v>10</v>
      </c>
      <c r="CM21" s="190">
        <f t="shared" si="37"/>
        <v>11</v>
      </c>
      <c r="CN21" s="190">
        <f t="shared" si="37"/>
        <v>12</v>
      </c>
      <c r="CO21" s="191" t="str">
        <f>CO6</f>
        <v>Итого</v>
      </c>
      <c r="CP21" s="190">
        <v>1</v>
      </c>
      <c r="CQ21" s="190">
        <f>CP21+1</f>
        <v>2</v>
      </c>
      <c r="CR21" s="190">
        <f aca="true" t="shared" si="38" ref="CR21:DA21">CQ21+1</f>
        <v>3</v>
      </c>
      <c r="CS21" s="190">
        <f t="shared" si="38"/>
        <v>4</v>
      </c>
      <c r="CT21" s="190">
        <f t="shared" si="38"/>
        <v>5</v>
      </c>
      <c r="CU21" s="190">
        <f t="shared" si="38"/>
        <v>6</v>
      </c>
      <c r="CV21" s="190">
        <f t="shared" si="38"/>
        <v>7</v>
      </c>
      <c r="CW21" s="190">
        <f t="shared" si="38"/>
        <v>8</v>
      </c>
      <c r="CX21" s="190">
        <f t="shared" si="38"/>
        <v>9</v>
      </c>
      <c r="CY21" s="190">
        <f t="shared" si="38"/>
        <v>10</v>
      </c>
      <c r="CZ21" s="190">
        <f t="shared" si="38"/>
        <v>11</v>
      </c>
      <c r="DA21" s="190">
        <f t="shared" si="38"/>
        <v>12</v>
      </c>
      <c r="DB21" s="191" t="str">
        <f>DB6</f>
        <v>Итого</v>
      </c>
      <c r="DC21" s="190">
        <v>1</v>
      </c>
      <c r="DD21" s="190">
        <f aca="true" t="shared" si="39" ref="DD21:DN21">DC21+1</f>
        <v>2</v>
      </c>
      <c r="DE21" s="190">
        <f t="shared" si="39"/>
        <v>3</v>
      </c>
      <c r="DF21" s="190">
        <f t="shared" si="39"/>
        <v>4</v>
      </c>
      <c r="DG21" s="190">
        <f t="shared" si="39"/>
        <v>5</v>
      </c>
      <c r="DH21" s="190">
        <f t="shared" si="39"/>
        <v>6</v>
      </c>
      <c r="DI21" s="190">
        <f t="shared" si="39"/>
        <v>7</v>
      </c>
      <c r="DJ21" s="190">
        <f t="shared" si="39"/>
        <v>8</v>
      </c>
      <c r="DK21" s="190">
        <f t="shared" si="39"/>
        <v>9</v>
      </c>
      <c r="DL21" s="190">
        <f t="shared" si="39"/>
        <v>10</v>
      </c>
      <c r="DM21" s="190">
        <f t="shared" si="39"/>
        <v>11</v>
      </c>
      <c r="DN21" s="190">
        <f t="shared" si="39"/>
        <v>12</v>
      </c>
      <c r="DO21" s="191" t="s">
        <v>0</v>
      </c>
    </row>
    <row r="22" spans="1:119" ht="12.75">
      <c r="A22" s="188" t="s">
        <v>106</v>
      </c>
      <c r="B22" s="193">
        <f>O22+AB22+AO22+BB22+BO22+CB22+CO22+DB22+DO22</f>
        <v>249861.304</v>
      </c>
      <c r="C22" s="194">
        <f>C38+C54+C70+C86</f>
        <v>0</v>
      </c>
      <c r="D22" s="194">
        <f aca="true" t="shared" si="40" ref="D22:N22">D38+D54+D70+D86</f>
        <v>0</v>
      </c>
      <c r="E22" s="194">
        <f t="shared" si="40"/>
        <v>0</v>
      </c>
      <c r="F22" s="194">
        <f t="shared" si="40"/>
        <v>0</v>
      </c>
      <c r="G22" s="194">
        <f t="shared" si="40"/>
        <v>0</v>
      </c>
      <c r="H22" s="194">
        <f t="shared" si="40"/>
        <v>0</v>
      </c>
      <c r="I22" s="194">
        <f t="shared" si="40"/>
        <v>0</v>
      </c>
      <c r="J22" s="194">
        <f t="shared" si="40"/>
        <v>70381.4412</v>
      </c>
      <c r="K22" s="194">
        <f t="shared" si="40"/>
        <v>20634.75</v>
      </c>
      <c r="L22" s="194">
        <f t="shared" si="40"/>
        <v>98545.902</v>
      </c>
      <c r="M22" s="194">
        <f t="shared" si="40"/>
        <v>60299.2108</v>
      </c>
      <c r="N22" s="194">
        <f t="shared" si="40"/>
        <v>0</v>
      </c>
      <c r="O22" s="195">
        <f>SUM(C22:N22)</f>
        <v>249861.304</v>
      </c>
      <c r="P22" s="194">
        <f>P38+P54+P70+P86</f>
        <v>0</v>
      </c>
      <c r="Q22" s="194">
        <f aca="true" t="shared" si="41" ref="Q22:AA22">Q38+Q54+Q70+Q86</f>
        <v>0</v>
      </c>
      <c r="R22" s="194">
        <f t="shared" si="41"/>
        <v>0</v>
      </c>
      <c r="S22" s="194">
        <f t="shared" si="41"/>
        <v>0</v>
      </c>
      <c r="T22" s="194">
        <f t="shared" si="41"/>
        <v>0</v>
      </c>
      <c r="U22" s="194">
        <f t="shared" si="41"/>
        <v>0</v>
      </c>
      <c r="V22" s="194">
        <f t="shared" si="41"/>
        <v>0</v>
      </c>
      <c r="W22" s="194">
        <f t="shared" si="41"/>
        <v>0</v>
      </c>
      <c r="X22" s="194">
        <f t="shared" si="41"/>
        <v>0</v>
      </c>
      <c r="Y22" s="194">
        <f t="shared" si="41"/>
        <v>0</v>
      </c>
      <c r="Z22" s="194">
        <f t="shared" si="41"/>
        <v>0</v>
      </c>
      <c r="AA22" s="194">
        <f t="shared" si="41"/>
        <v>0</v>
      </c>
      <c r="AB22" s="195">
        <f>SUM(P22:AA22)</f>
        <v>0</v>
      </c>
      <c r="AC22" s="194">
        <f aca="true" t="shared" si="42" ref="AC22:AN22">AC38+AC54+AC70+AC86</f>
        <v>0</v>
      </c>
      <c r="AD22" s="194">
        <f t="shared" si="42"/>
        <v>0</v>
      </c>
      <c r="AE22" s="194">
        <f t="shared" si="42"/>
        <v>0</v>
      </c>
      <c r="AF22" s="194">
        <f t="shared" si="42"/>
        <v>0</v>
      </c>
      <c r="AG22" s="194">
        <f t="shared" si="42"/>
        <v>0</v>
      </c>
      <c r="AH22" s="194">
        <f t="shared" si="42"/>
        <v>0</v>
      </c>
      <c r="AI22" s="194">
        <f t="shared" si="42"/>
        <v>0</v>
      </c>
      <c r="AJ22" s="194">
        <f t="shared" si="42"/>
        <v>0</v>
      </c>
      <c r="AK22" s="194">
        <f t="shared" si="42"/>
        <v>0</v>
      </c>
      <c r="AL22" s="194">
        <f t="shared" si="42"/>
        <v>0</v>
      </c>
      <c r="AM22" s="194">
        <f t="shared" si="42"/>
        <v>0</v>
      </c>
      <c r="AN22" s="194">
        <f t="shared" si="42"/>
        <v>0</v>
      </c>
      <c r="AO22" s="195">
        <f>SUM(AC22:AN22)</f>
        <v>0</v>
      </c>
      <c r="AP22" s="194">
        <f aca="true" t="shared" si="43" ref="AP22:BA22">AP38+AP54+AP70+AP86</f>
        <v>0</v>
      </c>
      <c r="AQ22" s="194">
        <f t="shared" si="43"/>
        <v>0</v>
      </c>
      <c r="AR22" s="194">
        <f t="shared" si="43"/>
        <v>0</v>
      </c>
      <c r="AS22" s="194">
        <f t="shared" si="43"/>
        <v>0</v>
      </c>
      <c r="AT22" s="194">
        <f t="shared" si="43"/>
        <v>0</v>
      </c>
      <c r="AU22" s="194">
        <f t="shared" si="43"/>
        <v>0</v>
      </c>
      <c r="AV22" s="194">
        <f t="shared" si="43"/>
        <v>0</v>
      </c>
      <c r="AW22" s="194">
        <f t="shared" si="43"/>
        <v>0</v>
      </c>
      <c r="AX22" s="194">
        <f t="shared" si="43"/>
        <v>0</v>
      </c>
      <c r="AY22" s="194">
        <f t="shared" si="43"/>
        <v>0</v>
      </c>
      <c r="AZ22" s="194">
        <f t="shared" si="43"/>
        <v>0</v>
      </c>
      <c r="BA22" s="194">
        <f t="shared" si="43"/>
        <v>0</v>
      </c>
      <c r="BB22" s="195">
        <f>SUM(AP22:BA22)</f>
        <v>0</v>
      </c>
      <c r="BC22" s="194">
        <f aca="true" t="shared" si="44" ref="BC22:BN22">BC38+BC54+BC70+BC86</f>
        <v>0</v>
      </c>
      <c r="BD22" s="194">
        <f t="shared" si="44"/>
        <v>0</v>
      </c>
      <c r="BE22" s="194">
        <f t="shared" si="44"/>
        <v>0</v>
      </c>
      <c r="BF22" s="194">
        <f t="shared" si="44"/>
        <v>0</v>
      </c>
      <c r="BG22" s="194">
        <f t="shared" si="44"/>
        <v>0</v>
      </c>
      <c r="BH22" s="194">
        <f t="shared" si="44"/>
        <v>0</v>
      </c>
      <c r="BI22" s="194">
        <f t="shared" si="44"/>
        <v>0</v>
      </c>
      <c r="BJ22" s="194">
        <f t="shared" si="44"/>
        <v>0</v>
      </c>
      <c r="BK22" s="194">
        <f t="shared" si="44"/>
        <v>0</v>
      </c>
      <c r="BL22" s="194">
        <f t="shared" si="44"/>
        <v>0</v>
      </c>
      <c r="BM22" s="194">
        <f t="shared" si="44"/>
        <v>0</v>
      </c>
      <c r="BN22" s="194">
        <f t="shared" si="44"/>
        <v>0</v>
      </c>
      <c r="BO22" s="195">
        <f>SUM(BC22:BN22)</f>
        <v>0</v>
      </c>
      <c r="BP22" s="194">
        <f aca="true" t="shared" si="45" ref="BP22:CA22">BP38+BP54+BP70+BP86</f>
        <v>0</v>
      </c>
      <c r="BQ22" s="194">
        <f t="shared" si="45"/>
        <v>0</v>
      </c>
      <c r="BR22" s="194">
        <f t="shared" si="45"/>
        <v>0</v>
      </c>
      <c r="BS22" s="194">
        <f t="shared" si="45"/>
        <v>0</v>
      </c>
      <c r="BT22" s="194">
        <f t="shared" si="45"/>
        <v>0</v>
      </c>
      <c r="BU22" s="194">
        <f t="shared" si="45"/>
        <v>0</v>
      </c>
      <c r="BV22" s="194">
        <f t="shared" si="45"/>
        <v>0</v>
      </c>
      <c r="BW22" s="194">
        <f t="shared" si="45"/>
        <v>0</v>
      </c>
      <c r="BX22" s="194">
        <f t="shared" si="45"/>
        <v>0</v>
      </c>
      <c r="BY22" s="194">
        <f t="shared" si="45"/>
        <v>0</v>
      </c>
      <c r="BZ22" s="194">
        <f t="shared" si="45"/>
        <v>0</v>
      </c>
      <c r="CA22" s="194">
        <f t="shared" si="45"/>
        <v>0</v>
      </c>
      <c r="CB22" s="195">
        <f>SUM(BP22:CA22)</f>
        <v>0</v>
      </c>
      <c r="CC22" s="194">
        <f aca="true" t="shared" si="46" ref="CC22:CN22">CC38+CC54+CC70+CC86</f>
        <v>0</v>
      </c>
      <c r="CD22" s="194">
        <f t="shared" si="46"/>
        <v>0</v>
      </c>
      <c r="CE22" s="194">
        <f t="shared" si="46"/>
        <v>0</v>
      </c>
      <c r="CF22" s="194">
        <f t="shared" si="46"/>
        <v>0</v>
      </c>
      <c r="CG22" s="194">
        <f t="shared" si="46"/>
        <v>0</v>
      </c>
      <c r="CH22" s="194">
        <f t="shared" si="46"/>
        <v>0</v>
      </c>
      <c r="CI22" s="194">
        <f t="shared" si="46"/>
        <v>0</v>
      </c>
      <c r="CJ22" s="194">
        <f t="shared" si="46"/>
        <v>0</v>
      </c>
      <c r="CK22" s="194">
        <f t="shared" si="46"/>
        <v>0</v>
      </c>
      <c r="CL22" s="194">
        <f t="shared" si="46"/>
        <v>0</v>
      </c>
      <c r="CM22" s="194">
        <f t="shared" si="46"/>
        <v>0</v>
      </c>
      <c r="CN22" s="194">
        <f t="shared" si="46"/>
        <v>0</v>
      </c>
      <c r="CO22" s="195">
        <f>SUM(CC22:CN22)</f>
        <v>0</v>
      </c>
      <c r="CP22" s="194">
        <f aca="true" t="shared" si="47" ref="CP22:DA22">CP38+CP54+CP70+CP86</f>
        <v>0</v>
      </c>
      <c r="CQ22" s="194">
        <f t="shared" si="47"/>
        <v>0</v>
      </c>
      <c r="CR22" s="194">
        <f t="shared" si="47"/>
        <v>0</v>
      </c>
      <c r="CS22" s="194">
        <f t="shared" si="47"/>
        <v>0</v>
      </c>
      <c r="CT22" s="194">
        <f t="shared" si="47"/>
        <v>0</v>
      </c>
      <c r="CU22" s="194">
        <f t="shared" si="47"/>
        <v>0</v>
      </c>
      <c r="CV22" s="194">
        <f t="shared" si="47"/>
        <v>0</v>
      </c>
      <c r="CW22" s="194">
        <f t="shared" si="47"/>
        <v>0</v>
      </c>
      <c r="CX22" s="194">
        <f t="shared" si="47"/>
        <v>0</v>
      </c>
      <c r="CY22" s="194">
        <f t="shared" si="47"/>
        <v>0</v>
      </c>
      <c r="CZ22" s="194">
        <f t="shared" si="47"/>
        <v>0</v>
      </c>
      <c r="DA22" s="194">
        <f t="shared" si="47"/>
        <v>0</v>
      </c>
      <c r="DB22" s="195">
        <f>SUM(CP22:DA22)</f>
        <v>0</v>
      </c>
      <c r="DC22" s="194">
        <f aca="true" t="shared" si="48" ref="DC22:DN22">DC38+DC54+DC70+DC86</f>
        <v>0</v>
      </c>
      <c r="DD22" s="194">
        <f t="shared" si="48"/>
        <v>0</v>
      </c>
      <c r="DE22" s="194">
        <f t="shared" si="48"/>
        <v>0</v>
      </c>
      <c r="DF22" s="194">
        <f t="shared" si="48"/>
        <v>0</v>
      </c>
      <c r="DG22" s="194">
        <f t="shared" si="48"/>
        <v>0</v>
      </c>
      <c r="DH22" s="194">
        <f t="shared" si="48"/>
        <v>0</v>
      </c>
      <c r="DI22" s="194">
        <f t="shared" si="48"/>
        <v>0</v>
      </c>
      <c r="DJ22" s="194">
        <f t="shared" si="48"/>
        <v>0</v>
      </c>
      <c r="DK22" s="194">
        <f t="shared" si="48"/>
        <v>0</v>
      </c>
      <c r="DL22" s="194">
        <f t="shared" si="48"/>
        <v>0</v>
      </c>
      <c r="DM22" s="194">
        <f t="shared" si="48"/>
        <v>0</v>
      </c>
      <c r="DN22" s="194">
        <f t="shared" si="48"/>
        <v>0</v>
      </c>
      <c r="DO22" s="195">
        <f>SUM(DC22:DN22)</f>
        <v>0</v>
      </c>
    </row>
    <row r="23" spans="1:119" s="197" customFormat="1" ht="20.25" customHeight="1">
      <c r="A23" s="188" t="s">
        <v>31</v>
      </c>
      <c r="B23" s="193">
        <f>O23+AB23+AO23+BB23+BO23+CB23+CO23+DB23+DO23</f>
        <v>13117.718460000002</v>
      </c>
      <c r="C23" s="194">
        <f aca="true" t="shared" si="49" ref="C23:N27">C39+C55+C71+C87</f>
        <v>0</v>
      </c>
      <c r="D23" s="194">
        <f t="shared" si="49"/>
        <v>0</v>
      </c>
      <c r="E23" s="194">
        <f t="shared" si="49"/>
        <v>0</v>
      </c>
      <c r="F23" s="194">
        <f t="shared" si="49"/>
        <v>0</v>
      </c>
      <c r="G23" s="194">
        <f t="shared" si="49"/>
        <v>0</v>
      </c>
      <c r="H23" s="194">
        <f t="shared" si="49"/>
        <v>0</v>
      </c>
      <c r="I23" s="194">
        <f t="shared" si="49"/>
        <v>0</v>
      </c>
      <c r="J23" s="194">
        <f t="shared" si="49"/>
        <v>0</v>
      </c>
      <c r="K23" s="194">
        <f t="shared" si="49"/>
        <v>0</v>
      </c>
      <c r="L23" s="194">
        <f t="shared" si="49"/>
        <v>0</v>
      </c>
      <c r="M23" s="194">
        <f t="shared" si="49"/>
        <v>0</v>
      </c>
      <c r="N23" s="194">
        <f t="shared" si="49"/>
        <v>0</v>
      </c>
      <c r="O23" s="195">
        <f>SUM(C23:N23)</f>
        <v>0</v>
      </c>
      <c r="P23" s="194">
        <f aca="true" t="shared" si="50" ref="P23:AA23">P39+P55+P71+P87</f>
        <v>0</v>
      </c>
      <c r="Q23" s="194">
        <f t="shared" si="50"/>
        <v>0</v>
      </c>
      <c r="R23" s="194">
        <f t="shared" si="50"/>
        <v>0</v>
      </c>
      <c r="S23" s="194">
        <f t="shared" si="50"/>
        <v>0</v>
      </c>
      <c r="T23" s="194">
        <f t="shared" si="50"/>
        <v>3695.0256630000003</v>
      </c>
      <c r="U23" s="194">
        <f t="shared" si="50"/>
        <v>1083.3243750000001</v>
      </c>
      <c r="V23" s="194">
        <f t="shared" si="50"/>
        <v>5173.659855000001</v>
      </c>
      <c r="W23" s="194">
        <f t="shared" si="50"/>
        <v>3165.708567</v>
      </c>
      <c r="X23" s="194">
        <f t="shared" si="50"/>
        <v>0</v>
      </c>
      <c r="Y23" s="194">
        <f t="shared" si="50"/>
        <v>0</v>
      </c>
      <c r="Z23" s="194">
        <f t="shared" si="50"/>
        <v>0</v>
      </c>
      <c r="AA23" s="194">
        <f t="shared" si="50"/>
        <v>0</v>
      </c>
      <c r="AB23" s="195">
        <f>SUM(P23:AA23)</f>
        <v>13117.718460000002</v>
      </c>
      <c r="AC23" s="194">
        <f aca="true" t="shared" si="51" ref="AC23:AN23">AC39+AC55+AC71+AC87</f>
        <v>0</v>
      </c>
      <c r="AD23" s="194">
        <f t="shared" si="51"/>
        <v>0</v>
      </c>
      <c r="AE23" s="194">
        <f t="shared" si="51"/>
        <v>0</v>
      </c>
      <c r="AF23" s="194">
        <f t="shared" si="51"/>
        <v>0</v>
      </c>
      <c r="AG23" s="194">
        <f t="shared" si="51"/>
        <v>0</v>
      </c>
      <c r="AH23" s="194">
        <f t="shared" si="51"/>
        <v>0</v>
      </c>
      <c r="AI23" s="194">
        <f t="shared" si="51"/>
        <v>0</v>
      </c>
      <c r="AJ23" s="194">
        <f t="shared" si="51"/>
        <v>0</v>
      </c>
      <c r="AK23" s="194">
        <f t="shared" si="51"/>
        <v>0</v>
      </c>
      <c r="AL23" s="194">
        <f t="shared" si="51"/>
        <v>0</v>
      </c>
      <c r="AM23" s="194">
        <f t="shared" si="51"/>
        <v>0</v>
      </c>
      <c r="AN23" s="194">
        <f t="shared" si="51"/>
        <v>0</v>
      </c>
      <c r="AO23" s="195">
        <f>SUM(AC23:AN23)</f>
        <v>0</v>
      </c>
      <c r="AP23" s="194">
        <f aca="true" t="shared" si="52" ref="AP23:BA23">AP39+AP55+AP71+AP87</f>
        <v>0</v>
      </c>
      <c r="AQ23" s="194">
        <f t="shared" si="52"/>
        <v>0</v>
      </c>
      <c r="AR23" s="194">
        <f t="shared" si="52"/>
        <v>0</v>
      </c>
      <c r="AS23" s="194">
        <f t="shared" si="52"/>
        <v>0</v>
      </c>
      <c r="AT23" s="194">
        <f t="shared" si="52"/>
        <v>0</v>
      </c>
      <c r="AU23" s="194">
        <f t="shared" si="52"/>
        <v>0</v>
      </c>
      <c r="AV23" s="194">
        <f t="shared" si="52"/>
        <v>0</v>
      </c>
      <c r="AW23" s="194">
        <f t="shared" si="52"/>
        <v>0</v>
      </c>
      <c r="AX23" s="194">
        <f t="shared" si="52"/>
        <v>0</v>
      </c>
      <c r="AY23" s="194">
        <f t="shared" si="52"/>
        <v>0</v>
      </c>
      <c r="AZ23" s="194">
        <f t="shared" si="52"/>
        <v>0</v>
      </c>
      <c r="BA23" s="194">
        <f t="shared" si="52"/>
        <v>0</v>
      </c>
      <c r="BB23" s="195">
        <f>SUM(AP23:BA23)</f>
        <v>0</v>
      </c>
      <c r="BC23" s="194">
        <f aca="true" t="shared" si="53" ref="BC23:BN23">BC39+BC55+BC71+BC87</f>
        <v>0</v>
      </c>
      <c r="BD23" s="194">
        <f t="shared" si="53"/>
        <v>0</v>
      </c>
      <c r="BE23" s="194">
        <f t="shared" si="53"/>
        <v>0</v>
      </c>
      <c r="BF23" s="194">
        <f t="shared" si="53"/>
        <v>0</v>
      </c>
      <c r="BG23" s="194">
        <f t="shared" si="53"/>
        <v>0</v>
      </c>
      <c r="BH23" s="194">
        <f t="shared" si="53"/>
        <v>0</v>
      </c>
      <c r="BI23" s="194">
        <f t="shared" si="53"/>
        <v>0</v>
      </c>
      <c r="BJ23" s="194">
        <f t="shared" si="53"/>
        <v>0</v>
      </c>
      <c r="BK23" s="194">
        <f t="shared" si="53"/>
        <v>0</v>
      </c>
      <c r="BL23" s="194">
        <f t="shared" si="53"/>
        <v>0</v>
      </c>
      <c r="BM23" s="194">
        <f t="shared" si="53"/>
        <v>0</v>
      </c>
      <c r="BN23" s="194">
        <f t="shared" si="53"/>
        <v>0</v>
      </c>
      <c r="BO23" s="195">
        <f>SUM(BC23:BN23)</f>
        <v>0</v>
      </c>
      <c r="BP23" s="194">
        <f aca="true" t="shared" si="54" ref="BP23:CA23">BP39+BP55+BP71+BP87</f>
        <v>0</v>
      </c>
      <c r="BQ23" s="194">
        <f t="shared" si="54"/>
        <v>0</v>
      </c>
      <c r="BR23" s="194">
        <f t="shared" si="54"/>
        <v>0</v>
      </c>
      <c r="BS23" s="194">
        <f t="shared" si="54"/>
        <v>0</v>
      </c>
      <c r="BT23" s="194">
        <f t="shared" si="54"/>
        <v>0</v>
      </c>
      <c r="BU23" s="194">
        <f t="shared" si="54"/>
        <v>0</v>
      </c>
      <c r="BV23" s="194">
        <f t="shared" si="54"/>
        <v>0</v>
      </c>
      <c r="BW23" s="194">
        <f t="shared" si="54"/>
        <v>0</v>
      </c>
      <c r="BX23" s="194">
        <f t="shared" si="54"/>
        <v>0</v>
      </c>
      <c r="BY23" s="194">
        <f t="shared" si="54"/>
        <v>0</v>
      </c>
      <c r="BZ23" s="194">
        <f t="shared" si="54"/>
        <v>0</v>
      </c>
      <c r="CA23" s="194">
        <f t="shared" si="54"/>
        <v>0</v>
      </c>
      <c r="CB23" s="195">
        <f>SUM(BP23:CA23)</f>
        <v>0</v>
      </c>
      <c r="CC23" s="194">
        <f aca="true" t="shared" si="55" ref="CC23:CN23">CC39+CC55+CC71+CC87</f>
        <v>0</v>
      </c>
      <c r="CD23" s="194">
        <f t="shared" si="55"/>
        <v>0</v>
      </c>
      <c r="CE23" s="194">
        <f t="shared" si="55"/>
        <v>0</v>
      </c>
      <c r="CF23" s="194">
        <f t="shared" si="55"/>
        <v>0</v>
      </c>
      <c r="CG23" s="194">
        <f t="shared" si="55"/>
        <v>0</v>
      </c>
      <c r="CH23" s="194">
        <f t="shared" si="55"/>
        <v>0</v>
      </c>
      <c r="CI23" s="194">
        <f t="shared" si="55"/>
        <v>0</v>
      </c>
      <c r="CJ23" s="194">
        <f t="shared" si="55"/>
        <v>0</v>
      </c>
      <c r="CK23" s="194">
        <f t="shared" si="55"/>
        <v>0</v>
      </c>
      <c r="CL23" s="194">
        <f t="shared" si="55"/>
        <v>0</v>
      </c>
      <c r="CM23" s="194">
        <f t="shared" si="55"/>
        <v>0</v>
      </c>
      <c r="CN23" s="194">
        <f t="shared" si="55"/>
        <v>0</v>
      </c>
      <c r="CO23" s="195">
        <f>SUM(CC23:CN23)</f>
        <v>0</v>
      </c>
      <c r="CP23" s="194">
        <f aca="true" t="shared" si="56" ref="CP23:DA23">CP39+CP55+CP71+CP87</f>
        <v>0</v>
      </c>
      <c r="CQ23" s="194">
        <f t="shared" si="56"/>
        <v>0</v>
      </c>
      <c r="CR23" s="194">
        <f t="shared" si="56"/>
        <v>0</v>
      </c>
      <c r="CS23" s="194">
        <f t="shared" si="56"/>
        <v>0</v>
      </c>
      <c r="CT23" s="194">
        <f t="shared" si="56"/>
        <v>0</v>
      </c>
      <c r="CU23" s="194">
        <f t="shared" si="56"/>
        <v>0</v>
      </c>
      <c r="CV23" s="194">
        <f t="shared" si="56"/>
        <v>0</v>
      </c>
      <c r="CW23" s="194">
        <f t="shared" si="56"/>
        <v>0</v>
      </c>
      <c r="CX23" s="194">
        <f t="shared" si="56"/>
        <v>0</v>
      </c>
      <c r="CY23" s="194">
        <f t="shared" si="56"/>
        <v>0</v>
      </c>
      <c r="CZ23" s="194">
        <f t="shared" si="56"/>
        <v>0</v>
      </c>
      <c r="DA23" s="194">
        <f t="shared" si="56"/>
        <v>0</v>
      </c>
      <c r="DB23" s="195">
        <f>SUM(CP23:DA23)</f>
        <v>0</v>
      </c>
      <c r="DC23" s="194">
        <f aca="true" t="shared" si="57" ref="DC23:DN23">DC39+DC55+DC71+DC87</f>
        <v>0</v>
      </c>
      <c r="DD23" s="194">
        <f t="shared" si="57"/>
        <v>0</v>
      </c>
      <c r="DE23" s="194">
        <f t="shared" si="57"/>
        <v>0</v>
      </c>
      <c r="DF23" s="194">
        <f t="shared" si="57"/>
        <v>0</v>
      </c>
      <c r="DG23" s="194">
        <f t="shared" si="57"/>
        <v>0</v>
      </c>
      <c r="DH23" s="194">
        <f t="shared" si="57"/>
        <v>0</v>
      </c>
      <c r="DI23" s="194">
        <f t="shared" si="57"/>
        <v>0</v>
      </c>
      <c r="DJ23" s="194">
        <f t="shared" si="57"/>
        <v>0</v>
      </c>
      <c r="DK23" s="194">
        <f t="shared" si="57"/>
        <v>0</v>
      </c>
      <c r="DL23" s="194">
        <f t="shared" si="57"/>
        <v>0</v>
      </c>
      <c r="DM23" s="194">
        <f t="shared" si="57"/>
        <v>0</v>
      </c>
      <c r="DN23" s="194">
        <f t="shared" si="57"/>
        <v>0</v>
      </c>
      <c r="DO23" s="195">
        <f>SUM(DC23:DN23)</f>
        <v>0</v>
      </c>
    </row>
    <row r="24" spans="1:119" s="197" customFormat="1" ht="12.75">
      <c r="A24" s="198" t="s">
        <v>13</v>
      </c>
      <c r="B24" s="193">
        <f>O24+AB24+AO24+BB24+BO24+CB24+CO24+DB24+DO24</f>
        <v>75579.91830241532</v>
      </c>
      <c r="C24" s="194">
        <f t="shared" si="49"/>
        <v>0</v>
      </c>
      <c r="D24" s="194">
        <f t="shared" si="49"/>
        <v>0</v>
      </c>
      <c r="E24" s="194">
        <f t="shared" si="49"/>
        <v>0</v>
      </c>
      <c r="F24" s="194">
        <f t="shared" si="49"/>
        <v>0</v>
      </c>
      <c r="G24" s="194">
        <f t="shared" si="49"/>
        <v>0</v>
      </c>
      <c r="H24" s="194">
        <f t="shared" si="49"/>
        <v>0</v>
      </c>
      <c r="I24" s="194">
        <f t="shared" si="49"/>
        <v>0</v>
      </c>
      <c r="J24" s="194">
        <f t="shared" si="49"/>
        <v>0</v>
      </c>
      <c r="K24" s="194">
        <f t="shared" si="49"/>
        <v>410.55840700000005</v>
      </c>
      <c r="L24" s="194">
        <f t="shared" si="49"/>
        <v>530.9277820000001</v>
      </c>
      <c r="M24" s="194">
        <f t="shared" si="49"/>
        <v>1105.7788770000002</v>
      </c>
      <c r="N24" s="194">
        <f t="shared" si="49"/>
        <v>1457.5242733333337</v>
      </c>
      <c r="O24" s="195">
        <f>SUM(C24:N24)</f>
        <v>3504.7893393333343</v>
      </c>
      <c r="P24" s="194">
        <f aca="true" t="shared" si="58" ref="P24:AA24">P40+P56+P72+P88</f>
        <v>1457.5242733333337</v>
      </c>
      <c r="Q24" s="194">
        <f t="shared" si="58"/>
        <v>1457.5242733333337</v>
      </c>
      <c r="R24" s="194">
        <f t="shared" si="58"/>
        <v>1457.5242733333337</v>
      </c>
      <c r="S24" s="194">
        <f t="shared" si="58"/>
        <v>1457.5242733333337</v>
      </c>
      <c r="T24" s="194">
        <f t="shared" si="58"/>
        <v>1457.5242733333337</v>
      </c>
      <c r="U24" s="194">
        <f t="shared" si="58"/>
        <v>1479.0785897008338</v>
      </c>
      <c r="V24" s="194">
        <f t="shared" si="58"/>
        <v>1480.7886769294894</v>
      </c>
      <c r="W24" s="194">
        <f t="shared" si="58"/>
        <v>1504.9807899221128</v>
      </c>
      <c r="X24" s="194">
        <f t="shared" si="58"/>
        <v>1510.9711209954012</v>
      </c>
      <c r="Y24" s="194">
        <f t="shared" si="58"/>
        <v>1494.4730241332422</v>
      </c>
      <c r="Z24" s="194">
        <f t="shared" si="58"/>
        <v>1477.8786883727205</v>
      </c>
      <c r="AA24" s="194">
        <f t="shared" si="58"/>
        <v>1461.1875523202625</v>
      </c>
      <c r="AB24" s="195">
        <f>SUM(P24:AA24)</f>
        <v>17696.979809040728</v>
      </c>
      <c r="AC24" s="194">
        <f aca="true" t="shared" si="59" ref="AC24:AN24">AC40+AC56+AC72+AC88</f>
        <v>1444.3990513074984</v>
      </c>
      <c r="AD24" s="194">
        <f t="shared" si="59"/>
        <v>1427.5126173721599</v>
      </c>
      <c r="AE24" s="194">
        <f t="shared" si="59"/>
        <v>1410.5276792388654</v>
      </c>
      <c r="AF24" s="194">
        <f t="shared" si="59"/>
        <v>1393.443662299793</v>
      </c>
      <c r="AG24" s="194">
        <f t="shared" si="59"/>
        <v>1376.2599885952432</v>
      </c>
      <c r="AH24" s="194">
        <f t="shared" si="59"/>
        <v>1358.976076794083</v>
      </c>
      <c r="AI24" s="194">
        <f t="shared" si="59"/>
        <v>1341.591342174083</v>
      </c>
      <c r="AJ24" s="194">
        <f t="shared" si="59"/>
        <v>1324.1051966021328</v>
      </c>
      <c r="AK24" s="194">
        <f t="shared" si="59"/>
        <v>1306.5170485143462</v>
      </c>
      <c r="AL24" s="194">
        <f t="shared" si="59"/>
        <v>1288.826302896048</v>
      </c>
      <c r="AM24" s="194">
        <f t="shared" si="59"/>
        <v>1271.0323612616426</v>
      </c>
      <c r="AN24" s="194">
        <f t="shared" si="59"/>
        <v>1253.13462163437</v>
      </c>
      <c r="AO24" s="195">
        <f>SUM(AC24:AN24)</f>
        <v>16196.325948690266</v>
      </c>
      <c r="AP24" s="194">
        <f aca="true" t="shared" si="60" ref="AP24:BA24">AP40+AP56+AP72+AP88</f>
        <v>1235.132478525938</v>
      </c>
      <c r="AQ24" s="194">
        <f t="shared" si="60"/>
        <v>1217.0253229160405</v>
      </c>
      <c r="AR24" s="194">
        <f t="shared" si="60"/>
        <v>1198.812542231752</v>
      </c>
      <c r="AS24" s="194">
        <f t="shared" si="60"/>
        <v>1180.4935203268049</v>
      </c>
      <c r="AT24" s="194">
        <f t="shared" si="60"/>
        <v>1162.0676374607458</v>
      </c>
      <c r="AU24" s="194">
        <f t="shared" si="60"/>
        <v>1143.5342702779678</v>
      </c>
      <c r="AV24" s="194">
        <f t="shared" si="60"/>
        <v>1124.8927917866238</v>
      </c>
      <c r="AW24" s="194">
        <f t="shared" si="60"/>
        <v>1106.1425713374135</v>
      </c>
      <c r="AX24" s="194">
        <f t="shared" si="60"/>
        <v>1087.2829746022496</v>
      </c>
      <c r="AY24" s="194">
        <f t="shared" si="60"/>
        <v>1068.313363552797</v>
      </c>
      <c r="AZ24" s="194">
        <f t="shared" si="60"/>
        <v>1049.2330964388896</v>
      </c>
      <c r="BA24" s="194">
        <f t="shared" si="60"/>
        <v>1030.0415277668176</v>
      </c>
      <c r="BB24" s="195">
        <f>SUM(AP24:BA24)</f>
        <v>13602.97209722404</v>
      </c>
      <c r="BC24" s="194">
        <f aca="true" t="shared" si="61" ref="BC24:BN24">BC40+BC56+BC72+BC88</f>
        <v>1010.7380082774915</v>
      </c>
      <c r="BD24" s="194">
        <f t="shared" si="61"/>
        <v>991.321884924478</v>
      </c>
      <c r="BE24" s="194">
        <f t="shared" si="61"/>
        <v>971.7925008519053</v>
      </c>
      <c r="BF24" s="194">
        <f t="shared" si="61"/>
        <v>952.1491953722425</v>
      </c>
      <c r="BG24" s="194">
        <f t="shared" si="61"/>
        <v>932.3913039439485</v>
      </c>
      <c r="BH24" s="194">
        <f t="shared" si="61"/>
        <v>912.5181581489893</v>
      </c>
      <c r="BI24" s="194">
        <f t="shared" si="61"/>
        <v>892.5290856702261</v>
      </c>
      <c r="BJ24" s="194">
        <f t="shared" si="61"/>
        <v>872.4234102686702</v>
      </c>
      <c r="BK24" s="194">
        <f t="shared" si="61"/>
        <v>852.2004517606051</v>
      </c>
      <c r="BL24" s="194">
        <f t="shared" si="61"/>
        <v>831.8595259945764</v>
      </c>
      <c r="BM24" s="194">
        <f t="shared" si="61"/>
        <v>811.399944828246</v>
      </c>
      <c r="BN24" s="194">
        <f t="shared" si="61"/>
        <v>790.8210161051118</v>
      </c>
      <c r="BO24" s="195">
        <f>SUM(BC24:BN24)</f>
        <v>10822.144486146492</v>
      </c>
      <c r="BP24" s="194">
        <f aca="true" t="shared" si="62" ref="BP24:CA24">BP40+BP56+BP72+BP88</f>
        <v>770.1220436310928</v>
      </c>
      <c r="BQ24" s="194">
        <f t="shared" si="62"/>
        <v>749.3023271509752</v>
      </c>
      <c r="BR24" s="194">
        <f t="shared" si="62"/>
        <v>728.3611623247238</v>
      </c>
      <c r="BS24" s="194">
        <f t="shared" si="62"/>
        <v>707.2978407036524</v>
      </c>
      <c r="BT24" s="194">
        <f t="shared" si="62"/>
        <v>686.1116497064581</v>
      </c>
      <c r="BU24" s="194">
        <f t="shared" si="62"/>
        <v>664.8018725951135</v>
      </c>
      <c r="BV24" s="194">
        <f t="shared" si="62"/>
        <v>643.3677884506195</v>
      </c>
      <c r="BW24" s="194">
        <f t="shared" si="62"/>
        <v>621.808672148616</v>
      </c>
      <c r="BX24" s="194">
        <f t="shared" si="62"/>
        <v>600.1237943348507</v>
      </c>
      <c r="BY24" s="194">
        <f t="shared" si="62"/>
        <v>578.312421400505</v>
      </c>
      <c r="BZ24" s="194">
        <f t="shared" si="62"/>
        <v>556.3738154573757</v>
      </c>
      <c r="CA24" s="194">
        <f t="shared" si="62"/>
        <v>534.3072343129115</v>
      </c>
      <c r="CB24" s="195">
        <f>SUM(BP24:CA24)</f>
        <v>7840.290622216894</v>
      </c>
      <c r="CC24" s="194">
        <f aca="true" t="shared" si="63" ref="CC24:CN24">CC40+CC56+CC72+CC88</f>
        <v>512.1119314451047</v>
      </c>
      <c r="CD24" s="194">
        <f t="shared" si="63"/>
        <v>489.7871559772355</v>
      </c>
      <c r="CE24" s="194">
        <f t="shared" si="63"/>
        <v>467.3321526524705</v>
      </c>
      <c r="CF24" s="194">
        <f t="shared" si="63"/>
        <v>444.746161808311</v>
      </c>
      <c r="CG24" s="194">
        <f t="shared" si="63"/>
        <v>422.02841935089396</v>
      </c>
      <c r="CH24" s="194">
        <f t="shared" si="63"/>
        <v>399.1781567291419</v>
      </c>
      <c r="CI24" s="194">
        <f t="shared" si="63"/>
        <v>376.194600908763</v>
      </c>
      <c r="CJ24" s="194">
        <f t="shared" si="63"/>
        <v>353.07697434609855</v>
      </c>
      <c r="CK24" s="194">
        <f t="shared" si="63"/>
        <v>329.8244949618186</v>
      </c>
      <c r="CL24" s="194">
        <f t="shared" si="63"/>
        <v>306.43637611446366</v>
      </c>
      <c r="CM24" s="194">
        <f t="shared" si="63"/>
        <v>282.91182657383246</v>
      </c>
      <c r="CN24" s="194">
        <f t="shared" si="63"/>
        <v>259.2500504942143</v>
      </c>
      <c r="CO24" s="195">
        <f>SUM(CC24:CN24)</f>
        <v>4642.878301362349</v>
      </c>
      <c r="CP24" s="194">
        <f aca="true" t="shared" si="64" ref="CP24:DA24">CP40+CP56+CP72+CP88</f>
        <v>235.45024738746497</v>
      </c>
      <c r="CQ24" s="194">
        <f t="shared" si="64"/>
        <v>211.51161209592627</v>
      </c>
      <c r="CR24" s="194">
        <f t="shared" si="64"/>
        <v>187.43333476518694</v>
      </c>
      <c r="CS24" s="194">
        <f t="shared" si="64"/>
        <v>163.21460081668502</v>
      </c>
      <c r="CT24" s="194">
        <f t="shared" si="64"/>
        <v>138.85459092015012</v>
      </c>
      <c r="CU24" s="194">
        <f t="shared" si="64"/>
        <v>114.35248096588543</v>
      </c>
      <c r="CV24" s="194">
        <f t="shared" si="64"/>
        <v>89.70744203688753</v>
      </c>
      <c r="CW24" s="194">
        <f t="shared" si="64"/>
        <v>64.91864038080382</v>
      </c>
      <c r="CX24" s="194">
        <f t="shared" si="64"/>
        <v>39.985237381726286</v>
      </c>
      <c r="CY24" s="194">
        <f t="shared" si="64"/>
        <v>22.03635204364226</v>
      </c>
      <c r="CZ24" s="194">
        <f t="shared" si="64"/>
        <v>6.073159606785422</v>
      </c>
      <c r="DA24" s="194">
        <f t="shared" si="64"/>
        <v>5.399224770978133E-12</v>
      </c>
      <c r="DB24" s="195">
        <f>SUM(CP24:DA24)</f>
        <v>1273.5376984011498</v>
      </c>
      <c r="DC24" s="194">
        <f aca="true" t="shared" si="65" ref="DC24:DN24">DC40+DC56+DC72+DC88</f>
        <v>5.399224770978133E-12</v>
      </c>
      <c r="DD24" s="194">
        <f t="shared" si="65"/>
        <v>5.399224770978133E-12</v>
      </c>
      <c r="DE24" s="194">
        <f t="shared" si="65"/>
        <v>5.399224770978133E-12</v>
      </c>
      <c r="DF24" s="194">
        <f t="shared" si="65"/>
        <v>5.399224770978133E-12</v>
      </c>
      <c r="DG24" s="194">
        <f t="shared" si="65"/>
        <v>5.399224770978133E-12</v>
      </c>
      <c r="DH24" s="194">
        <f t="shared" si="65"/>
        <v>5.399224770978133E-12</v>
      </c>
      <c r="DI24" s="194">
        <f t="shared" si="65"/>
        <v>5.399224770978133E-12</v>
      </c>
      <c r="DJ24" s="194">
        <f t="shared" si="65"/>
        <v>5.399224770978133E-12</v>
      </c>
      <c r="DK24" s="194">
        <f t="shared" si="65"/>
        <v>5.399224770978133E-12</v>
      </c>
      <c r="DL24" s="194">
        <f t="shared" si="65"/>
        <v>5.399224770978133E-12</v>
      </c>
      <c r="DM24" s="194">
        <f t="shared" si="65"/>
        <v>5.399224770978133E-12</v>
      </c>
      <c r="DN24" s="194">
        <f t="shared" si="65"/>
        <v>5.399224770978133E-12</v>
      </c>
      <c r="DO24" s="195">
        <f>SUM(DC24:DN24)</f>
        <v>6.479069725173758E-11</v>
      </c>
    </row>
    <row r="25" spans="1:119" ht="12.75">
      <c r="A25" s="188" t="s">
        <v>14</v>
      </c>
      <c r="B25" s="193">
        <f>O25+AB25+AO25+BB25+BO25+CB25+CO25+DB25+DO25</f>
        <v>262979.022459999</v>
      </c>
      <c r="C25" s="194">
        <f t="shared" si="49"/>
        <v>0</v>
      </c>
      <c r="D25" s="194">
        <f t="shared" si="49"/>
        <v>0</v>
      </c>
      <c r="E25" s="194">
        <f t="shared" si="49"/>
        <v>0</v>
      </c>
      <c r="F25" s="194">
        <f t="shared" si="49"/>
        <v>0</v>
      </c>
      <c r="G25" s="194">
        <f t="shared" si="49"/>
        <v>0</v>
      </c>
      <c r="H25" s="194">
        <f t="shared" si="49"/>
        <v>0</v>
      </c>
      <c r="I25" s="194">
        <f t="shared" si="49"/>
        <v>0</v>
      </c>
      <c r="J25" s="194">
        <f t="shared" si="49"/>
        <v>0</v>
      </c>
      <c r="K25" s="194">
        <f t="shared" si="49"/>
        <v>0</v>
      </c>
      <c r="L25" s="194">
        <f t="shared" si="49"/>
        <v>0</v>
      </c>
      <c r="M25" s="194">
        <f t="shared" si="49"/>
        <v>0</v>
      </c>
      <c r="N25" s="194">
        <f t="shared" si="49"/>
        <v>0</v>
      </c>
      <c r="O25" s="195">
        <f>SUM(C25:N25)</f>
        <v>0</v>
      </c>
      <c r="P25" s="194">
        <f aca="true" t="shared" si="66" ref="P25:AA25">P41+P57+P73+P89</f>
        <v>0</v>
      </c>
      <c r="Q25" s="194">
        <f t="shared" si="66"/>
        <v>0</v>
      </c>
      <c r="R25" s="194">
        <f t="shared" si="66"/>
        <v>0</v>
      </c>
      <c r="S25" s="194">
        <f t="shared" si="66"/>
        <v>0</v>
      </c>
      <c r="T25" s="194">
        <f t="shared" si="66"/>
        <v>0</v>
      </c>
      <c r="U25" s="194">
        <f t="shared" si="66"/>
        <v>790.1665643733231</v>
      </c>
      <c r="V25" s="194">
        <f t="shared" si="66"/>
        <v>1026.4404848359834</v>
      </c>
      <c r="W25" s="194">
        <f t="shared" si="66"/>
        <v>2138.7946687219587</v>
      </c>
      <c r="X25" s="194">
        <f t="shared" si="66"/>
        <v>2828.2451763701224</v>
      </c>
      <c r="Y25" s="194">
        <f t="shared" si="66"/>
        <v>2844.7432732322814</v>
      </c>
      <c r="Z25" s="194">
        <f t="shared" si="66"/>
        <v>2861.3376089928033</v>
      </c>
      <c r="AA25" s="194">
        <f t="shared" si="66"/>
        <v>2878.0287450452606</v>
      </c>
      <c r="AB25" s="195">
        <f>SUM(P25:AA25)</f>
        <v>15367.756521571733</v>
      </c>
      <c r="AC25" s="194">
        <f aca="true" t="shared" si="67" ref="AC25:AN25">AC41+AC57+AC73+AC89</f>
        <v>2894.8172460580245</v>
      </c>
      <c r="AD25" s="194">
        <f t="shared" si="67"/>
        <v>2911.703679993363</v>
      </c>
      <c r="AE25" s="194">
        <f t="shared" si="67"/>
        <v>2928.688618126658</v>
      </c>
      <c r="AF25" s="194">
        <f t="shared" si="67"/>
        <v>2945.7726350657304</v>
      </c>
      <c r="AG25" s="194">
        <f t="shared" si="67"/>
        <v>2962.95630877028</v>
      </c>
      <c r="AH25" s="194">
        <f t="shared" si="67"/>
        <v>2980.24022057144</v>
      </c>
      <c r="AI25" s="194">
        <f t="shared" si="67"/>
        <v>2997.6249551914407</v>
      </c>
      <c r="AJ25" s="194">
        <f t="shared" si="67"/>
        <v>3015.111100763391</v>
      </c>
      <c r="AK25" s="194">
        <f t="shared" si="67"/>
        <v>3032.6992488511773</v>
      </c>
      <c r="AL25" s="194">
        <f t="shared" si="67"/>
        <v>3050.389994469476</v>
      </c>
      <c r="AM25" s="194">
        <f t="shared" si="67"/>
        <v>3068.183936103881</v>
      </c>
      <c r="AN25" s="194">
        <f t="shared" si="67"/>
        <v>3086.0816757311536</v>
      </c>
      <c r="AO25" s="195">
        <f>SUM(AC25:AN25)</f>
        <v>35874.26961969602</v>
      </c>
      <c r="AP25" s="194">
        <f aca="true" t="shared" si="68" ref="AP25:BA25">AP41+AP57+AP73+AP89</f>
        <v>3104.083818839585</v>
      </c>
      <c r="AQ25" s="194">
        <f t="shared" si="68"/>
        <v>3122.190974449483</v>
      </c>
      <c r="AR25" s="194">
        <f t="shared" si="68"/>
        <v>3140.4037551337715</v>
      </c>
      <c r="AS25" s="194">
        <f t="shared" si="68"/>
        <v>3158.722777038719</v>
      </c>
      <c r="AT25" s="194">
        <f t="shared" si="68"/>
        <v>3177.1486599047776</v>
      </c>
      <c r="AU25" s="194">
        <f t="shared" si="68"/>
        <v>3195.682027087556</v>
      </c>
      <c r="AV25" s="194">
        <f t="shared" si="68"/>
        <v>3214.3235055788996</v>
      </c>
      <c r="AW25" s="194">
        <f t="shared" si="68"/>
        <v>3233.0737260281094</v>
      </c>
      <c r="AX25" s="194">
        <f t="shared" si="68"/>
        <v>3251.933322763274</v>
      </c>
      <c r="AY25" s="194">
        <f t="shared" si="68"/>
        <v>3270.9029338127266</v>
      </c>
      <c r="AZ25" s="194">
        <f t="shared" si="68"/>
        <v>3289.983200926634</v>
      </c>
      <c r="BA25" s="194">
        <f t="shared" si="68"/>
        <v>3309.174769598706</v>
      </c>
      <c r="BB25" s="195">
        <f>SUM(AP25:BA25)</f>
        <v>38467.62347116224</v>
      </c>
      <c r="BC25" s="194">
        <f aca="true" t="shared" si="69" ref="BC25:BN25">BC41+BC57+BC73+BC89</f>
        <v>3328.478289088032</v>
      </c>
      <c r="BD25" s="194">
        <f t="shared" si="69"/>
        <v>3347.8944124410455</v>
      </c>
      <c r="BE25" s="194">
        <f t="shared" si="69"/>
        <v>3367.423796513618</v>
      </c>
      <c r="BF25" s="194">
        <f t="shared" si="69"/>
        <v>3387.067101993281</v>
      </c>
      <c r="BG25" s="194">
        <f t="shared" si="69"/>
        <v>3406.8249934215746</v>
      </c>
      <c r="BH25" s="194">
        <f t="shared" si="69"/>
        <v>3426.6981392165344</v>
      </c>
      <c r="BI25" s="194">
        <f t="shared" si="69"/>
        <v>3446.6872116952973</v>
      </c>
      <c r="BJ25" s="194">
        <f t="shared" si="69"/>
        <v>3466.7928870968535</v>
      </c>
      <c r="BK25" s="194">
        <f t="shared" si="69"/>
        <v>3487.0158456049185</v>
      </c>
      <c r="BL25" s="194">
        <f t="shared" si="69"/>
        <v>3507.356771370947</v>
      </c>
      <c r="BM25" s="194">
        <f t="shared" si="69"/>
        <v>3527.8163525372775</v>
      </c>
      <c r="BN25" s="194">
        <f t="shared" si="69"/>
        <v>3548.395281260411</v>
      </c>
      <c r="BO25" s="195">
        <f>SUM(BC25:BN25)</f>
        <v>41248.45108223979</v>
      </c>
      <c r="BP25" s="194">
        <f aca="true" t="shared" si="70" ref="BP25:CA25">BP41+BP57+BP73+BP89</f>
        <v>3569.094253734431</v>
      </c>
      <c r="BQ25" s="194">
        <f t="shared" si="70"/>
        <v>3589.9139702145485</v>
      </c>
      <c r="BR25" s="194">
        <f t="shared" si="70"/>
        <v>3610.8551350407997</v>
      </c>
      <c r="BS25" s="194">
        <f t="shared" si="70"/>
        <v>3631.918456661871</v>
      </c>
      <c r="BT25" s="194">
        <f t="shared" si="70"/>
        <v>3653.1046476590654</v>
      </c>
      <c r="BU25" s="194">
        <f t="shared" si="70"/>
        <v>3674.41442477041</v>
      </c>
      <c r="BV25" s="194">
        <f t="shared" si="70"/>
        <v>3695.8485089149035</v>
      </c>
      <c r="BW25" s="194">
        <f t="shared" si="70"/>
        <v>3717.407625216907</v>
      </c>
      <c r="BX25" s="194">
        <f t="shared" si="70"/>
        <v>3739.092503030673</v>
      </c>
      <c r="BY25" s="194">
        <f t="shared" si="70"/>
        <v>3760.903875965018</v>
      </c>
      <c r="BZ25" s="194">
        <f t="shared" si="70"/>
        <v>3782.842481908148</v>
      </c>
      <c r="CA25" s="194">
        <f t="shared" si="70"/>
        <v>3804.9090630526116</v>
      </c>
      <c r="CB25" s="195">
        <f>SUM(BP25:CA25)</f>
        <v>44230.30494616939</v>
      </c>
      <c r="CC25" s="194">
        <f aca="true" t="shared" si="71" ref="CC25:CN25">CC41+CC57+CC73+CC89</f>
        <v>3827.104365920419</v>
      </c>
      <c r="CD25" s="194">
        <f t="shared" si="71"/>
        <v>3849.4291413882884</v>
      </c>
      <c r="CE25" s="194">
        <f t="shared" si="71"/>
        <v>3871.884144713053</v>
      </c>
      <c r="CF25" s="194">
        <f t="shared" si="71"/>
        <v>3894.4701355572124</v>
      </c>
      <c r="CG25" s="194">
        <f t="shared" si="71"/>
        <v>3917.1878780146294</v>
      </c>
      <c r="CH25" s="194">
        <f t="shared" si="71"/>
        <v>3940.0381406363813</v>
      </c>
      <c r="CI25" s="194">
        <f t="shared" si="71"/>
        <v>3963.0216964567608</v>
      </c>
      <c r="CJ25" s="194">
        <f t="shared" si="71"/>
        <v>3986.139323019425</v>
      </c>
      <c r="CK25" s="194">
        <f t="shared" si="71"/>
        <v>4009.3918024037052</v>
      </c>
      <c r="CL25" s="194">
        <f t="shared" si="71"/>
        <v>4032.77992125106</v>
      </c>
      <c r="CM25" s="194">
        <f t="shared" si="71"/>
        <v>4056.304470791691</v>
      </c>
      <c r="CN25" s="194">
        <f t="shared" si="71"/>
        <v>4079.966246871309</v>
      </c>
      <c r="CO25" s="195">
        <f>SUM(CC25:CN25)</f>
        <v>47427.71726702394</v>
      </c>
      <c r="CP25" s="194">
        <f aca="true" t="shared" si="72" ref="CP25:DA25">CP41+CP57+CP73+CP89</f>
        <v>4103.766049978059</v>
      </c>
      <c r="CQ25" s="194">
        <f t="shared" si="72"/>
        <v>4127.704685269598</v>
      </c>
      <c r="CR25" s="194">
        <f t="shared" si="72"/>
        <v>4151.782962600337</v>
      </c>
      <c r="CS25" s="194">
        <f t="shared" si="72"/>
        <v>4176.0016965488385</v>
      </c>
      <c r="CT25" s="194">
        <f t="shared" si="72"/>
        <v>4200.361706445374</v>
      </c>
      <c r="CU25" s="194">
        <f t="shared" si="72"/>
        <v>4224.863816399638</v>
      </c>
      <c r="CV25" s="194">
        <f t="shared" si="72"/>
        <v>4249.508855328636</v>
      </c>
      <c r="CW25" s="194">
        <f t="shared" si="72"/>
        <v>4274.29765698472</v>
      </c>
      <c r="CX25" s="194">
        <f t="shared" si="72"/>
        <v>3076.951772242975</v>
      </c>
      <c r="CY25" s="194">
        <f t="shared" si="72"/>
        <v>2736.5472748897437</v>
      </c>
      <c r="CZ25" s="194">
        <f t="shared" si="72"/>
        <v>1041.1130754480039</v>
      </c>
      <c r="DA25" s="194">
        <f t="shared" si="72"/>
        <v>0</v>
      </c>
      <c r="DB25" s="195">
        <f>SUM(CP25:DA25)</f>
        <v>40362.89955213592</v>
      </c>
      <c r="DC25" s="194">
        <f aca="true" t="shared" si="73" ref="DC25:DN25">DC41+DC57+DC73+DC89</f>
        <v>0</v>
      </c>
      <c r="DD25" s="194">
        <f t="shared" si="73"/>
        <v>0</v>
      </c>
      <c r="DE25" s="194">
        <f t="shared" si="73"/>
        <v>0</v>
      </c>
      <c r="DF25" s="194">
        <f t="shared" si="73"/>
        <v>0</v>
      </c>
      <c r="DG25" s="194">
        <f t="shared" si="73"/>
        <v>0</v>
      </c>
      <c r="DH25" s="194">
        <f t="shared" si="73"/>
        <v>0</v>
      </c>
      <c r="DI25" s="194">
        <f t="shared" si="73"/>
        <v>0</v>
      </c>
      <c r="DJ25" s="194">
        <f t="shared" si="73"/>
        <v>0</v>
      </c>
      <c r="DK25" s="194">
        <f t="shared" si="73"/>
        <v>0</v>
      </c>
      <c r="DL25" s="194">
        <f t="shared" si="73"/>
        <v>0</v>
      </c>
      <c r="DM25" s="194">
        <f t="shared" si="73"/>
        <v>0</v>
      </c>
      <c r="DN25" s="194">
        <f t="shared" si="73"/>
        <v>0</v>
      </c>
      <c r="DO25" s="195">
        <f>SUM(DC25:DN25)</f>
        <v>0</v>
      </c>
    </row>
    <row r="26" spans="1:119" ht="12.75">
      <c r="A26" s="188" t="s">
        <v>15</v>
      </c>
      <c r="B26" s="193">
        <f>O26+AB26+AO26+BB26+BO26+CB26+CO26+DB26+DO26</f>
        <v>62462.19984241532</v>
      </c>
      <c r="C26" s="194">
        <f t="shared" si="49"/>
        <v>0</v>
      </c>
      <c r="D26" s="194">
        <f t="shared" si="49"/>
        <v>0</v>
      </c>
      <c r="E26" s="194">
        <f t="shared" si="49"/>
        <v>0</v>
      </c>
      <c r="F26" s="194">
        <f t="shared" si="49"/>
        <v>0</v>
      </c>
      <c r="G26" s="194">
        <f t="shared" si="49"/>
        <v>0</v>
      </c>
      <c r="H26" s="194">
        <f t="shared" si="49"/>
        <v>0</v>
      </c>
      <c r="I26" s="194">
        <f t="shared" si="49"/>
        <v>0</v>
      </c>
      <c r="J26" s="194">
        <f t="shared" si="49"/>
        <v>0</v>
      </c>
      <c r="K26" s="194">
        <f t="shared" si="49"/>
        <v>0</v>
      </c>
      <c r="L26" s="194">
        <f t="shared" si="49"/>
        <v>0</v>
      </c>
      <c r="M26" s="194">
        <f t="shared" si="49"/>
        <v>0</v>
      </c>
      <c r="N26" s="194">
        <f t="shared" si="49"/>
        <v>0</v>
      </c>
      <c r="O26" s="195">
        <f>SUM(C26:N26)</f>
        <v>0</v>
      </c>
      <c r="P26" s="194">
        <f aca="true" t="shared" si="74" ref="P26:AA26">P42+P58+P74+P90</f>
        <v>0</v>
      </c>
      <c r="Q26" s="194">
        <f t="shared" si="74"/>
        <v>0</v>
      </c>
      <c r="R26" s="194">
        <f t="shared" si="74"/>
        <v>0</v>
      </c>
      <c r="S26" s="194">
        <f t="shared" si="74"/>
        <v>0</v>
      </c>
      <c r="T26" s="194">
        <f t="shared" si="74"/>
        <v>0</v>
      </c>
      <c r="U26" s="194">
        <f t="shared" si="74"/>
        <v>432.1127233675001</v>
      </c>
      <c r="V26" s="194">
        <f t="shared" si="74"/>
        <v>554.1921855961557</v>
      </c>
      <c r="W26" s="194">
        <f t="shared" si="74"/>
        <v>1153.2353935887793</v>
      </c>
      <c r="X26" s="194">
        <f t="shared" si="74"/>
        <v>1510.9711209954012</v>
      </c>
      <c r="Y26" s="194">
        <f t="shared" si="74"/>
        <v>1494.4730241332422</v>
      </c>
      <c r="Z26" s="194">
        <f t="shared" si="74"/>
        <v>1477.8786883727205</v>
      </c>
      <c r="AA26" s="194">
        <f t="shared" si="74"/>
        <v>1461.1875523202625</v>
      </c>
      <c r="AB26" s="195">
        <f>SUM(P26:AA26)</f>
        <v>8084.050688374062</v>
      </c>
      <c r="AC26" s="194">
        <f aca="true" t="shared" si="75" ref="AC26:AN26">AC42+AC58+AC74+AC90</f>
        <v>1444.3990513074984</v>
      </c>
      <c r="AD26" s="194">
        <f t="shared" si="75"/>
        <v>1427.5126173721599</v>
      </c>
      <c r="AE26" s="194">
        <f t="shared" si="75"/>
        <v>1410.5276792388654</v>
      </c>
      <c r="AF26" s="194">
        <f t="shared" si="75"/>
        <v>1393.443662299793</v>
      </c>
      <c r="AG26" s="194">
        <f t="shared" si="75"/>
        <v>1376.2599885952432</v>
      </c>
      <c r="AH26" s="194">
        <f t="shared" si="75"/>
        <v>1358.976076794083</v>
      </c>
      <c r="AI26" s="194">
        <f t="shared" si="75"/>
        <v>1341.591342174083</v>
      </c>
      <c r="AJ26" s="194">
        <f t="shared" si="75"/>
        <v>1324.1051966021328</v>
      </c>
      <c r="AK26" s="194">
        <f t="shared" si="75"/>
        <v>1306.5170485143462</v>
      </c>
      <c r="AL26" s="194">
        <f t="shared" si="75"/>
        <v>1288.826302896048</v>
      </c>
      <c r="AM26" s="194">
        <f t="shared" si="75"/>
        <v>1271.0323612616426</v>
      </c>
      <c r="AN26" s="194">
        <f t="shared" si="75"/>
        <v>1253.13462163437</v>
      </c>
      <c r="AO26" s="195">
        <f>SUM(AC26:AN26)</f>
        <v>16196.325948690266</v>
      </c>
      <c r="AP26" s="194">
        <f aca="true" t="shared" si="76" ref="AP26:BA26">AP42+AP58+AP74+AP90</f>
        <v>1235.132478525938</v>
      </c>
      <c r="AQ26" s="194">
        <f t="shared" si="76"/>
        <v>1217.0253229160405</v>
      </c>
      <c r="AR26" s="194">
        <f t="shared" si="76"/>
        <v>1198.812542231752</v>
      </c>
      <c r="AS26" s="194">
        <f t="shared" si="76"/>
        <v>1180.4935203268049</v>
      </c>
      <c r="AT26" s="194">
        <f t="shared" si="76"/>
        <v>1162.0676374607458</v>
      </c>
      <c r="AU26" s="194">
        <f t="shared" si="76"/>
        <v>1143.5342702779678</v>
      </c>
      <c r="AV26" s="194">
        <f t="shared" si="76"/>
        <v>1124.8927917866238</v>
      </c>
      <c r="AW26" s="194">
        <f t="shared" si="76"/>
        <v>1106.1425713374135</v>
      </c>
      <c r="AX26" s="194">
        <f t="shared" si="76"/>
        <v>1087.2829746022496</v>
      </c>
      <c r="AY26" s="194">
        <f t="shared" si="76"/>
        <v>1068.313363552797</v>
      </c>
      <c r="AZ26" s="194">
        <f t="shared" si="76"/>
        <v>1049.2330964388896</v>
      </c>
      <c r="BA26" s="194">
        <f t="shared" si="76"/>
        <v>1030.0415277668176</v>
      </c>
      <c r="BB26" s="195">
        <f>SUM(AP26:BA26)</f>
        <v>13602.97209722404</v>
      </c>
      <c r="BC26" s="194">
        <f aca="true" t="shared" si="77" ref="BC26:BN26">BC42+BC58+BC74+BC90</f>
        <v>1010.7380082774915</v>
      </c>
      <c r="BD26" s="194">
        <f t="shared" si="77"/>
        <v>991.321884924478</v>
      </c>
      <c r="BE26" s="194">
        <f t="shared" si="77"/>
        <v>971.7925008519053</v>
      </c>
      <c r="BF26" s="194">
        <f t="shared" si="77"/>
        <v>952.1491953722425</v>
      </c>
      <c r="BG26" s="194">
        <f t="shared" si="77"/>
        <v>932.3913039439485</v>
      </c>
      <c r="BH26" s="194">
        <f t="shared" si="77"/>
        <v>912.5181581489893</v>
      </c>
      <c r="BI26" s="194">
        <f t="shared" si="77"/>
        <v>892.5290856702261</v>
      </c>
      <c r="BJ26" s="194">
        <f t="shared" si="77"/>
        <v>872.4234102686702</v>
      </c>
      <c r="BK26" s="194">
        <f t="shared" si="77"/>
        <v>852.2004517606051</v>
      </c>
      <c r="BL26" s="194">
        <f t="shared" si="77"/>
        <v>831.8595259945764</v>
      </c>
      <c r="BM26" s="194">
        <f t="shared" si="77"/>
        <v>811.399944828246</v>
      </c>
      <c r="BN26" s="194">
        <f t="shared" si="77"/>
        <v>790.8210161051118</v>
      </c>
      <c r="BO26" s="195">
        <f>SUM(BC26:BN26)</f>
        <v>10822.144486146492</v>
      </c>
      <c r="BP26" s="194">
        <f aca="true" t="shared" si="78" ref="BP26:CA26">BP42+BP58+BP74+BP90</f>
        <v>770.1220436310928</v>
      </c>
      <c r="BQ26" s="194">
        <f t="shared" si="78"/>
        <v>749.3023271509752</v>
      </c>
      <c r="BR26" s="194">
        <f t="shared" si="78"/>
        <v>728.3611623247238</v>
      </c>
      <c r="BS26" s="194">
        <f t="shared" si="78"/>
        <v>707.2978407036524</v>
      </c>
      <c r="BT26" s="194">
        <f t="shared" si="78"/>
        <v>686.1116497064581</v>
      </c>
      <c r="BU26" s="194">
        <f t="shared" si="78"/>
        <v>664.8018725951135</v>
      </c>
      <c r="BV26" s="194">
        <f t="shared" si="78"/>
        <v>643.3677884506195</v>
      </c>
      <c r="BW26" s="194">
        <f t="shared" si="78"/>
        <v>621.808672148616</v>
      </c>
      <c r="BX26" s="194">
        <f t="shared" si="78"/>
        <v>600.1237943348507</v>
      </c>
      <c r="BY26" s="194">
        <f t="shared" si="78"/>
        <v>578.312421400505</v>
      </c>
      <c r="BZ26" s="194">
        <f t="shared" si="78"/>
        <v>556.3738154573757</v>
      </c>
      <c r="CA26" s="194">
        <f t="shared" si="78"/>
        <v>534.3072343129115</v>
      </c>
      <c r="CB26" s="195">
        <f>SUM(BP26:CA26)</f>
        <v>7840.290622216894</v>
      </c>
      <c r="CC26" s="194">
        <f aca="true" t="shared" si="79" ref="CC26:CN26">CC42+CC58+CC74+CC90</f>
        <v>512.1119314451047</v>
      </c>
      <c r="CD26" s="194">
        <f t="shared" si="79"/>
        <v>489.7871559772355</v>
      </c>
      <c r="CE26" s="194">
        <f t="shared" si="79"/>
        <v>467.3321526524705</v>
      </c>
      <c r="CF26" s="194">
        <f t="shared" si="79"/>
        <v>444.746161808311</v>
      </c>
      <c r="CG26" s="194">
        <f t="shared" si="79"/>
        <v>422.02841935089396</v>
      </c>
      <c r="CH26" s="194">
        <f t="shared" si="79"/>
        <v>399.1781567291419</v>
      </c>
      <c r="CI26" s="194">
        <f t="shared" si="79"/>
        <v>376.194600908763</v>
      </c>
      <c r="CJ26" s="194">
        <f t="shared" si="79"/>
        <v>353.07697434609855</v>
      </c>
      <c r="CK26" s="194">
        <f t="shared" si="79"/>
        <v>329.8244949618186</v>
      </c>
      <c r="CL26" s="194">
        <f t="shared" si="79"/>
        <v>306.43637611446366</v>
      </c>
      <c r="CM26" s="194">
        <f t="shared" si="79"/>
        <v>282.91182657383246</v>
      </c>
      <c r="CN26" s="194">
        <f t="shared" si="79"/>
        <v>259.2500504942143</v>
      </c>
      <c r="CO26" s="195">
        <f>SUM(CC26:CN26)</f>
        <v>4642.878301362349</v>
      </c>
      <c r="CP26" s="194">
        <f aca="true" t="shared" si="80" ref="CP26:DA26">CP42+CP58+CP74+CP90</f>
        <v>235.45024738746497</v>
      </c>
      <c r="CQ26" s="194">
        <f t="shared" si="80"/>
        <v>211.51161209592627</v>
      </c>
      <c r="CR26" s="194">
        <f t="shared" si="80"/>
        <v>187.43333476518694</v>
      </c>
      <c r="CS26" s="194">
        <f t="shared" si="80"/>
        <v>163.21460081668502</v>
      </c>
      <c r="CT26" s="194">
        <f t="shared" si="80"/>
        <v>138.85459092015012</v>
      </c>
      <c r="CU26" s="194">
        <f t="shared" si="80"/>
        <v>114.35248096588543</v>
      </c>
      <c r="CV26" s="194">
        <f t="shared" si="80"/>
        <v>89.70744203688753</v>
      </c>
      <c r="CW26" s="194">
        <f t="shared" si="80"/>
        <v>64.91864038080382</v>
      </c>
      <c r="CX26" s="194">
        <f t="shared" si="80"/>
        <v>39.985237381726286</v>
      </c>
      <c r="CY26" s="194">
        <f t="shared" si="80"/>
        <v>22.03635204364226</v>
      </c>
      <c r="CZ26" s="194">
        <f t="shared" si="80"/>
        <v>6.073159606785422</v>
      </c>
      <c r="DA26" s="194">
        <f t="shared" si="80"/>
        <v>5.399224770978133E-12</v>
      </c>
      <c r="DB26" s="195">
        <f>SUM(CP26:DA26)</f>
        <v>1273.5376984011498</v>
      </c>
      <c r="DC26" s="194">
        <f aca="true" t="shared" si="81" ref="DC26:DN26">DC42+DC58+DC74+DC90</f>
        <v>5.399224770978133E-12</v>
      </c>
      <c r="DD26" s="194">
        <f t="shared" si="81"/>
        <v>5.399224770978133E-12</v>
      </c>
      <c r="DE26" s="194">
        <f t="shared" si="81"/>
        <v>5.399224770978133E-12</v>
      </c>
      <c r="DF26" s="194">
        <f t="shared" si="81"/>
        <v>5.399224770978133E-12</v>
      </c>
      <c r="DG26" s="194">
        <f t="shared" si="81"/>
        <v>5.399224770978133E-12</v>
      </c>
      <c r="DH26" s="194">
        <f t="shared" si="81"/>
        <v>5.399224770978133E-12</v>
      </c>
      <c r="DI26" s="194">
        <f t="shared" si="81"/>
        <v>5.399224770978133E-12</v>
      </c>
      <c r="DJ26" s="194">
        <f t="shared" si="81"/>
        <v>5.399224770978133E-12</v>
      </c>
      <c r="DK26" s="194">
        <f t="shared" si="81"/>
        <v>5.399224770978133E-12</v>
      </c>
      <c r="DL26" s="194">
        <f t="shared" si="81"/>
        <v>5.399224770978133E-12</v>
      </c>
      <c r="DM26" s="194">
        <f t="shared" si="81"/>
        <v>5.399224770978133E-12</v>
      </c>
      <c r="DN26" s="194">
        <f t="shared" si="81"/>
        <v>5.399224770978133E-12</v>
      </c>
      <c r="DO26" s="195">
        <f>SUM(DC26:DN26)</f>
        <v>6.479069725173758E-11</v>
      </c>
    </row>
    <row r="27" spans="1:119" ht="12.75">
      <c r="A27" s="188" t="s">
        <v>16</v>
      </c>
      <c r="B27" s="193">
        <f>DO27</f>
        <v>9.255813893105369E-10</v>
      </c>
      <c r="C27" s="194">
        <f t="shared" si="49"/>
        <v>0</v>
      </c>
      <c r="D27" s="194">
        <f t="shared" si="49"/>
        <v>0</v>
      </c>
      <c r="E27" s="194">
        <f t="shared" si="49"/>
        <v>0</v>
      </c>
      <c r="F27" s="194">
        <f t="shared" si="49"/>
        <v>0</v>
      </c>
      <c r="G27" s="194">
        <f t="shared" si="49"/>
        <v>0</v>
      </c>
      <c r="H27" s="194">
        <f t="shared" si="49"/>
        <v>0</v>
      </c>
      <c r="I27" s="194">
        <f t="shared" si="49"/>
        <v>0</v>
      </c>
      <c r="J27" s="194">
        <f t="shared" si="49"/>
        <v>70381.4412</v>
      </c>
      <c r="K27" s="194">
        <f t="shared" si="49"/>
        <v>91016.1912</v>
      </c>
      <c r="L27" s="194">
        <f t="shared" si="49"/>
        <v>189562.0932</v>
      </c>
      <c r="M27" s="194">
        <f t="shared" si="49"/>
        <v>249861.304</v>
      </c>
      <c r="N27" s="194">
        <f t="shared" si="49"/>
        <v>249861.304</v>
      </c>
      <c r="O27" s="195">
        <f>N27</f>
        <v>249861.304</v>
      </c>
      <c r="P27" s="194">
        <f aca="true" t="shared" si="82" ref="P27:AA27">P43+P59+P75+P91</f>
        <v>249861.304</v>
      </c>
      <c r="Q27" s="194">
        <f t="shared" si="82"/>
        <v>249861.304</v>
      </c>
      <c r="R27" s="194">
        <f t="shared" si="82"/>
        <v>249861.304</v>
      </c>
      <c r="S27" s="194">
        <f t="shared" si="82"/>
        <v>249861.304</v>
      </c>
      <c r="T27" s="194">
        <f t="shared" si="82"/>
        <v>253556.329663</v>
      </c>
      <c r="U27" s="194">
        <f t="shared" si="82"/>
        <v>253849.48747362668</v>
      </c>
      <c r="V27" s="194">
        <f t="shared" si="82"/>
        <v>257996.70684379071</v>
      </c>
      <c r="W27" s="194">
        <f t="shared" si="82"/>
        <v>259023.62074206874</v>
      </c>
      <c r="X27" s="194">
        <f t="shared" si="82"/>
        <v>256195.37556569863</v>
      </c>
      <c r="Y27" s="194">
        <f t="shared" si="82"/>
        <v>253350.63229246635</v>
      </c>
      <c r="Z27" s="194">
        <f t="shared" si="82"/>
        <v>250489.29468347356</v>
      </c>
      <c r="AA27" s="194">
        <f t="shared" si="82"/>
        <v>247611.2659384283</v>
      </c>
      <c r="AB27" s="195">
        <f>AA27</f>
        <v>247611.2659384283</v>
      </c>
      <c r="AC27" s="194">
        <f aca="true" t="shared" si="83" ref="AC27:AN27">AC43+AC59+AC75+AC91</f>
        <v>244716.44869237024</v>
      </c>
      <c r="AD27" s="194">
        <f t="shared" si="83"/>
        <v>241804.74501237686</v>
      </c>
      <c r="AE27" s="194">
        <f t="shared" si="83"/>
        <v>238876.05639425025</v>
      </c>
      <c r="AF27" s="194">
        <f t="shared" si="83"/>
        <v>235930.2837591845</v>
      </c>
      <c r="AG27" s="194">
        <f t="shared" si="83"/>
        <v>232967.32745041422</v>
      </c>
      <c r="AH27" s="194">
        <f t="shared" si="83"/>
        <v>229987.0872298428</v>
      </c>
      <c r="AI27" s="194">
        <f t="shared" si="83"/>
        <v>226989.46227465133</v>
      </c>
      <c r="AJ27" s="194">
        <f t="shared" si="83"/>
        <v>223974.35117388796</v>
      </c>
      <c r="AK27" s="194">
        <f t="shared" si="83"/>
        <v>220941.65192503677</v>
      </c>
      <c r="AL27" s="194">
        <f t="shared" si="83"/>
        <v>217891.26193056727</v>
      </c>
      <c r="AM27" s="194">
        <f t="shared" si="83"/>
        <v>214823.0779944634</v>
      </c>
      <c r="AN27" s="194">
        <f t="shared" si="83"/>
        <v>211736.99631873224</v>
      </c>
      <c r="AO27" s="195">
        <f>AN27</f>
        <v>211736.99631873224</v>
      </c>
      <c r="AP27" s="194">
        <f aca="true" t="shared" si="84" ref="AP27:BA27">AP43+AP59+AP75+AP91</f>
        <v>208632.91249989267</v>
      </c>
      <c r="AQ27" s="194">
        <f t="shared" si="84"/>
        <v>205510.7215254432</v>
      </c>
      <c r="AR27" s="194">
        <f t="shared" si="84"/>
        <v>202370.3177703094</v>
      </c>
      <c r="AS27" s="194">
        <f t="shared" si="84"/>
        <v>199211.59499327067</v>
      </c>
      <c r="AT27" s="194">
        <f t="shared" si="84"/>
        <v>196034.44633336592</v>
      </c>
      <c r="AU27" s="194">
        <f t="shared" si="84"/>
        <v>192838.76430627832</v>
      </c>
      <c r="AV27" s="194">
        <f t="shared" si="84"/>
        <v>189624.44080069943</v>
      </c>
      <c r="AW27" s="194">
        <f t="shared" si="84"/>
        <v>186391.36707467132</v>
      </c>
      <c r="AX27" s="194">
        <f t="shared" si="84"/>
        <v>183139.43375190804</v>
      </c>
      <c r="AY27" s="194">
        <f t="shared" si="84"/>
        <v>179868.5308180953</v>
      </c>
      <c r="AZ27" s="194">
        <f t="shared" si="84"/>
        <v>176578.5476171687</v>
      </c>
      <c r="BA27" s="194">
        <f t="shared" si="84"/>
        <v>173269.37284757</v>
      </c>
      <c r="BB27" s="195">
        <f>BA27</f>
        <v>173269.37284757</v>
      </c>
      <c r="BC27" s="194">
        <f aca="true" t="shared" si="85" ref="BC27:BN27">BC43+BC59+BC75+BC91</f>
        <v>169940.89455848196</v>
      </c>
      <c r="BD27" s="194">
        <f t="shared" si="85"/>
        <v>166593.0001460409</v>
      </c>
      <c r="BE27" s="194">
        <f t="shared" si="85"/>
        <v>163225.57634952728</v>
      </c>
      <c r="BF27" s="194">
        <f t="shared" si="85"/>
        <v>159838.50924753398</v>
      </c>
      <c r="BG27" s="194">
        <f t="shared" si="85"/>
        <v>156431.68425411242</v>
      </c>
      <c r="BH27" s="194">
        <f t="shared" si="85"/>
        <v>153004.9861148959</v>
      </c>
      <c r="BI27" s="194">
        <f t="shared" si="85"/>
        <v>149558.29890320057</v>
      </c>
      <c r="BJ27" s="194">
        <f t="shared" si="85"/>
        <v>146091.50601610373</v>
      </c>
      <c r="BK27" s="194">
        <f t="shared" si="85"/>
        <v>142604.49017049882</v>
      </c>
      <c r="BL27" s="194">
        <f t="shared" si="85"/>
        <v>139097.13339912787</v>
      </c>
      <c r="BM27" s="194">
        <f t="shared" si="85"/>
        <v>135569.3170465906</v>
      </c>
      <c r="BN27" s="194">
        <f t="shared" si="85"/>
        <v>132020.9217653302</v>
      </c>
      <c r="BO27" s="195">
        <f>BN27</f>
        <v>132020.9217653302</v>
      </c>
      <c r="BP27" s="194">
        <f aca="true" t="shared" si="86" ref="BP27:CA27">BP43+BP59+BP75+BP91</f>
        <v>128451.82751159574</v>
      </c>
      <c r="BQ27" s="194">
        <f t="shared" si="86"/>
        <v>124861.9135413812</v>
      </c>
      <c r="BR27" s="194">
        <f t="shared" si="86"/>
        <v>121251.05840634041</v>
      </c>
      <c r="BS27" s="194">
        <f t="shared" si="86"/>
        <v>117619.13994967853</v>
      </c>
      <c r="BT27" s="194">
        <f t="shared" si="86"/>
        <v>113966.03530201946</v>
      </c>
      <c r="BU27" s="194">
        <f t="shared" si="86"/>
        <v>110291.62087724905</v>
      </c>
      <c r="BV27" s="194">
        <f t="shared" si="86"/>
        <v>106595.77236833415</v>
      </c>
      <c r="BW27" s="194">
        <f t="shared" si="86"/>
        <v>102878.36474311724</v>
      </c>
      <c r="BX27" s="194">
        <f t="shared" si="86"/>
        <v>99139.27224008658</v>
      </c>
      <c r="BY27" s="194">
        <f t="shared" si="86"/>
        <v>95378.36836412155</v>
      </c>
      <c r="BZ27" s="194">
        <f t="shared" si="86"/>
        <v>91595.52588221339</v>
      </c>
      <c r="CA27" s="194">
        <f t="shared" si="86"/>
        <v>87790.61681916079</v>
      </c>
      <c r="CB27" s="195">
        <f>CA27</f>
        <v>87790.61681916079</v>
      </c>
      <c r="CC27" s="194">
        <f aca="true" t="shared" si="87" ref="CC27:CN27">CC43+CC59+CC75+CC91</f>
        <v>83963.51245324036</v>
      </c>
      <c r="CD27" s="194">
        <f t="shared" si="87"/>
        <v>80114.08331185207</v>
      </c>
      <c r="CE27" s="194">
        <f t="shared" si="87"/>
        <v>76242.19916713903</v>
      </c>
      <c r="CF27" s="194">
        <f t="shared" si="87"/>
        <v>72347.72903158181</v>
      </c>
      <c r="CG27" s="194">
        <f t="shared" si="87"/>
        <v>68430.54115356717</v>
      </c>
      <c r="CH27" s="194">
        <f t="shared" si="87"/>
        <v>64490.50301293079</v>
      </c>
      <c r="CI27" s="194">
        <f t="shared" si="87"/>
        <v>60527.48131647403</v>
      </c>
      <c r="CJ27" s="194">
        <f t="shared" si="87"/>
        <v>56541.341993454604</v>
      </c>
      <c r="CK27" s="194">
        <f t="shared" si="87"/>
        <v>52531.950191050906</v>
      </c>
      <c r="CL27" s="194">
        <f t="shared" si="87"/>
        <v>48499.17026979984</v>
      </c>
      <c r="CM27" s="194">
        <f t="shared" si="87"/>
        <v>44442.865799008156</v>
      </c>
      <c r="CN27" s="194">
        <f t="shared" si="87"/>
        <v>40362.89955213684</v>
      </c>
      <c r="CO27" s="195">
        <f>CN27</f>
        <v>40362.89955213684</v>
      </c>
      <c r="CP27" s="194">
        <f aca="true" t="shared" si="88" ref="CP27:DA27">CP43+CP59+CP75+CP91</f>
        <v>36259.13350215879</v>
      </c>
      <c r="CQ27" s="194">
        <f t="shared" si="88"/>
        <v>32131.42881688919</v>
      </c>
      <c r="CR27" s="194">
        <f t="shared" si="88"/>
        <v>27979.645854288854</v>
      </c>
      <c r="CS27" s="194">
        <f t="shared" si="88"/>
        <v>23803.64415774002</v>
      </c>
      <c r="CT27" s="194">
        <f t="shared" si="88"/>
        <v>19603.282451294643</v>
      </c>
      <c r="CU27" s="194">
        <f t="shared" si="88"/>
        <v>15378.418634895004</v>
      </c>
      <c r="CV27" s="194">
        <f t="shared" si="88"/>
        <v>11128.90977956637</v>
      </c>
      <c r="CW27" s="194">
        <f t="shared" si="88"/>
        <v>6854.612122581649</v>
      </c>
      <c r="CX27" s="194">
        <f t="shared" si="88"/>
        <v>3777.660350338673</v>
      </c>
      <c r="CY27" s="194">
        <f t="shared" si="88"/>
        <v>1041.1130754489295</v>
      </c>
      <c r="CZ27" s="194">
        <f t="shared" si="88"/>
        <v>9.255813893105369E-10</v>
      </c>
      <c r="DA27" s="194">
        <f t="shared" si="88"/>
        <v>9.255813893105369E-10</v>
      </c>
      <c r="DB27" s="195">
        <f>DA27</f>
        <v>9.255813893105369E-10</v>
      </c>
      <c r="DC27" s="194">
        <f aca="true" t="shared" si="89" ref="DC27:DN27">DC43+DC59+DC75+DC91</f>
        <v>9.255813893105369E-10</v>
      </c>
      <c r="DD27" s="194">
        <f t="shared" si="89"/>
        <v>9.255813893105369E-10</v>
      </c>
      <c r="DE27" s="194">
        <f t="shared" si="89"/>
        <v>9.255813893105369E-10</v>
      </c>
      <c r="DF27" s="194">
        <f t="shared" si="89"/>
        <v>9.255813893105369E-10</v>
      </c>
      <c r="DG27" s="194">
        <f t="shared" si="89"/>
        <v>9.255813893105369E-10</v>
      </c>
      <c r="DH27" s="194">
        <f t="shared" si="89"/>
        <v>9.255813893105369E-10</v>
      </c>
      <c r="DI27" s="194">
        <f t="shared" si="89"/>
        <v>9.255813893105369E-10</v>
      </c>
      <c r="DJ27" s="194">
        <f t="shared" si="89"/>
        <v>9.255813893105369E-10</v>
      </c>
      <c r="DK27" s="194">
        <f t="shared" si="89"/>
        <v>9.255813893105369E-10</v>
      </c>
      <c r="DL27" s="194">
        <f t="shared" si="89"/>
        <v>9.255813893105369E-10</v>
      </c>
      <c r="DM27" s="194">
        <f t="shared" si="89"/>
        <v>9.255813893105369E-10</v>
      </c>
      <c r="DN27" s="194">
        <f t="shared" si="89"/>
        <v>9.255813893105369E-10</v>
      </c>
      <c r="DO27" s="195">
        <f>DN27</f>
        <v>9.255813893105369E-10</v>
      </c>
    </row>
    <row r="28" spans="1:119" ht="12.75">
      <c r="A28" s="177" t="s">
        <v>78</v>
      </c>
      <c r="B28" s="285">
        <f>Исх!C49*12-Исх!C50</f>
        <v>75</v>
      </c>
      <c r="CP28" s="180"/>
      <c r="DB28" s="177"/>
      <c r="DO28" s="177"/>
    </row>
    <row r="29" spans="1:119" ht="12.75">
      <c r="A29" s="288" t="s">
        <v>258</v>
      </c>
      <c r="B29" s="289">
        <f>$AK$27*$B$20/12/((1-(1+$B$20/12)^-$B$28))</f>
        <v>3645.5897045773063</v>
      </c>
      <c r="DB29" s="177"/>
      <c r="DO29" s="177"/>
    </row>
    <row r="30" spans="1:119" ht="6.75" customHeight="1">
      <c r="A30" s="286"/>
      <c r="B30" s="283"/>
      <c r="DB30" s="177"/>
      <c r="DO30" s="177"/>
    </row>
    <row r="31" spans="1:119" ht="12.75">
      <c r="A31" s="271" t="s">
        <v>244</v>
      </c>
      <c r="DB31" s="177"/>
      <c r="DO31" s="177"/>
    </row>
    <row r="32" spans="1:119" ht="12.75" hidden="1" outlineLevel="1">
      <c r="A32" s="272">
        <f>B22+B23-B25</f>
        <v>9.89530235528946E-10</v>
      </c>
      <c r="DB32" s="177"/>
      <c r="DO32" s="177"/>
    </row>
    <row r="33" spans="1:119" ht="12.75" hidden="1" outlineLevel="1">
      <c r="A33" s="272">
        <f>B24-B23-B26</f>
        <v>0</v>
      </c>
      <c r="DB33" s="177"/>
      <c r="DO33" s="177"/>
    </row>
    <row r="34" spans="106:119" ht="12.75" collapsed="1">
      <c r="DB34" s="177"/>
      <c r="DO34" s="177"/>
    </row>
    <row r="35" spans="1:119" ht="12.75">
      <c r="A35" s="297" t="s">
        <v>281</v>
      </c>
      <c r="B35" s="298"/>
      <c r="DB35" s="177"/>
      <c r="DO35" s="177"/>
    </row>
    <row r="36" spans="1:119" ht="15.75" customHeight="1">
      <c r="A36" s="186" t="s">
        <v>11</v>
      </c>
      <c r="B36" s="287">
        <f>Исх!$C$48</f>
        <v>0.07</v>
      </c>
      <c r="C36" s="363">
        <v>2013</v>
      </c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>
        <v>2014</v>
      </c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>
        <v>2015</v>
      </c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3">
        <v>2016</v>
      </c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63"/>
      <c r="BB36" s="363"/>
      <c r="BC36" s="363">
        <v>2017</v>
      </c>
      <c r="BD36" s="363"/>
      <c r="BE36" s="363"/>
      <c r="BF36" s="363"/>
      <c r="BG36" s="363"/>
      <c r="BH36" s="363"/>
      <c r="BI36" s="363"/>
      <c r="BJ36" s="363"/>
      <c r="BK36" s="363"/>
      <c r="BL36" s="363"/>
      <c r="BM36" s="363"/>
      <c r="BN36" s="363"/>
      <c r="BO36" s="363"/>
      <c r="BP36" s="363">
        <v>2018</v>
      </c>
      <c r="BQ36" s="363"/>
      <c r="BR36" s="363"/>
      <c r="BS36" s="363"/>
      <c r="BT36" s="363"/>
      <c r="BU36" s="363"/>
      <c r="BV36" s="363"/>
      <c r="BW36" s="363"/>
      <c r="BX36" s="363"/>
      <c r="BY36" s="363"/>
      <c r="BZ36" s="363"/>
      <c r="CA36" s="363"/>
      <c r="CB36" s="363"/>
      <c r="CC36" s="363">
        <v>2019</v>
      </c>
      <c r="CD36" s="363"/>
      <c r="CE36" s="363"/>
      <c r="CF36" s="363"/>
      <c r="CG36" s="363"/>
      <c r="CH36" s="363"/>
      <c r="CI36" s="363"/>
      <c r="CJ36" s="363"/>
      <c r="CK36" s="363"/>
      <c r="CL36" s="363"/>
      <c r="CM36" s="363"/>
      <c r="CN36" s="363"/>
      <c r="CO36" s="363"/>
      <c r="CP36" s="363">
        <v>2020</v>
      </c>
      <c r="CQ36" s="363"/>
      <c r="CR36" s="363"/>
      <c r="CS36" s="363"/>
      <c r="CT36" s="363"/>
      <c r="CU36" s="363"/>
      <c r="CV36" s="363"/>
      <c r="CW36" s="363"/>
      <c r="CX36" s="363"/>
      <c r="CY36" s="363"/>
      <c r="CZ36" s="363"/>
      <c r="DA36" s="363"/>
      <c r="DB36" s="363"/>
      <c r="DC36" s="363">
        <v>2021</v>
      </c>
      <c r="DD36" s="363"/>
      <c r="DE36" s="363"/>
      <c r="DF36" s="363"/>
      <c r="DG36" s="363"/>
      <c r="DH36" s="363"/>
      <c r="DI36" s="363"/>
      <c r="DJ36" s="363"/>
      <c r="DK36" s="363"/>
      <c r="DL36" s="363"/>
      <c r="DM36" s="363"/>
      <c r="DN36" s="363"/>
      <c r="DO36" s="363"/>
    </row>
    <row r="37" spans="1:119" s="192" customFormat="1" ht="15" customHeight="1">
      <c r="A37" s="188" t="s">
        <v>9</v>
      </c>
      <c r="B37" s="189" t="s">
        <v>89</v>
      </c>
      <c r="C37" s="190">
        <v>1</v>
      </c>
      <c r="D37" s="190">
        <v>2</v>
      </c>
      <c r="E37" s="190">
        <f aca="true" t="shared" si="90" ref="E37:N37">D37+1</f>
        <v>3</v>
      </c>
      <c r="F37" s="190">
        <f t="shared" si="90"/>
        <v>4</v>
      </c>
      <c r="G37" s="190">
        <f t="shared" si="90"/>
        <v>5</v>
      </c>
      <c r="H37" s="190">
        <f t="shared" si="90"/>
        <v>6</v>
      </c>
      <c r="I37" s="190">
        <f t="shared" si="90"/>
        <v>7</v>
      </c>
      <c r="J37" s="190">
        <f t="shared" si="90"/>
        <v>8</v>
      </c>
      <c r="K37" s="190">
        <f t="shared" si="90"/>
        <v>9</v>
      </c>
      <c r="L37" s="190">
        <f t="shared" si="90"/>
        <v>10</v>
      </c>
      <c r="M37" s="190">
        <f t="shared" si="90"/>
        <v>11</v>
      </c>
      <c r="N37" s="190">
        <f t="shared" si="90"/>
        <v>12</v>
      </c>
      <c r="O37" s="191" t="str">
        <f>O21</f>
        <v>Итого</v>
      </c>
      <c r="P37" s="190">
        <v>1</v>
      </c>
      <c r="Q37" s="190">
        <v>2</v>
      </c>
      <c r="R37" s="190">
        <f aca="true" t="shared" si="91" ref="R37:AA37">Q37+1</f>
        <v>3</v>
      </c>
      <c r="S37" s="190">
        <f t="shared" si="91"/>
        <v>4</v>
      </c>
      <c r="T37" s="190">
        <f t="shared" si="91"/>
        <v>5</v>
      </c>
      <c r="U37" s="190">
        <f t="shared" si="91"/>
        <v>6</v>
      </c>
      <c r="V37" s="190">
        <f t="shared" si="91"/>
        <v>7</v>
      </c>
      <c r="W37" s="190">
        <f t="shared" si="91"/>
        <v>8</v>
      </c>
      <c r="X37" s="190">
        <f t="shared" si="91"/>
        <v>9</v>
      </c>
      <c r="Y37" s="190">
        <f t="shared" si="91"/>
        <v>10</v>
      </c>
      <c r="Z37" s="190">
        <f t="shared" si="91"/>
        <v>11</v>
      </c>
      <c r="AA37" s="190">
        <f t="shared" si="91"/>
        <v>12</v>
      </c>
      <c r="AB37" s="191" t="str">
        <f>AB21</f>
        <v>Итого</v>
      </c>
      <c r="AC37" s="190">
        <v>1</v>
      </c>
      <c r="AD37" s="190">
        <v>2</v>
      </c>
      <c r="AE37" s="190">
        <f aca="true" t="shared" si="92" ref="AE37:AN37">AD37+1</f>
        <v>3</v>
      </c>
      <c r="AF37" s="190">
        <f t="shared" si="92"/>
        <v>4</v>
      </c>
      <c r="AG37" s="190">
        <f t="shared" si="92"/>
        <v>5</v>
      </c>
      <c r="AH37" s="190">
        <f t="shared" si="92"/>
        <v>6</v>
      </c>
      <c r="AI37" s="190">
        <f t="shared" si="92"/>
        <v>7</v>
      </c>
      <c r="AJ37" s="190">
        <f t="shared" si="92"/>
        <v>8</v>
      </c>
      <c r="AK37" s="190">
        <f t="shared" si="92"/>
        <v>9</v>
      </c>
      <c r="AL37" s="190">
        <f t="shared" si="92"/>
        <v>10</v>
      </c>
      <c r="AM37" s="190">
        <f t="shared" si="92"/>
        <v>11</v>
      </c>
      <c r="AN37" s="190">
        <f t="shared" si="92"/>
        <v>12</v>
      </c>
      <c r="AO37" s="191" t="str">
        <f>AO21</f>
        <v>Итого</v>
      </c>
      <c r="AP37" s="190">
        <v>1</v>
      </c>
      <c r="AQ37" s="190">
        <v>2</v>
      </c>
      <c r="AR37" s="190">
        <f aca="true" t="shared" si="93" ref="AR37:BA37">AQ37+1</f>
        <v>3</v>
      </c>
      <c r="AS37" s="190">
        <f t="shared" si="93"/>
        <v>4</v>
      </c>
      <c r="AT37" s="190">
        <f t="shared" si="93"/>
        <v>5</v>
      </c>
      <c r="AU37" s="190">
        <f t="shared" si="93"/>
        <v>6</v>
      </c>
      <c r="AV37" s="190">
        <f t="shared" si="93"/>
        <v>7</v>
      </c>
      <c r="AW37" s="190">
        <f t="shared" si="93"/>
        <v>8</v>
      </c>
      <c r="AX37" s="190">
        <f t="shared" si="93"/>
        <v>9</v>
      </c>
      <c r="AY37" s="190">
        <f t="shared" si="93"/>
        <v>10</v>
      </c>
      <c r="AZ37" s="190">
        <f t="shared" si="93"/>
        <v>11</v>
      </c>
      <c r="BA37" s="190">
        <f t="shared" si="93"/>
        <v>12</v>
      </c>
      <c r="BB37" s="191" t="str">
        <f>BB21</f>
        <v>Итого</v>
      </c>
      <c r="BC37" s="190">
        <v>1</v>
      </c>
      <c r="BD37" s="190">
        <v>2</v>
      </c>
      <c r="BE37" s="190">
        <f aca="true" t="shared" si="94" ref="BE37:BN37">BD37+1</f>
        <v>3</v>
      </c>
      <c r="BF37" s="190">
        <f t="shared" si="94"/>
        <v>4</v>
      </c>
      <c r="BG37" s="190">
        <f t="shared" si="94"/>
        <v>5</v>
      </c>
      <c r="BH37" s="190">
        <f t="shared" si="94"/>
        <v>6</v>
      </c>
      <c r="BI37" s="190">
        <f t="shared" si="94"/>
        <v>7</v>
      </c>
      <c r="BJ37" s="190">
        <f t="shared" si="94"/>
        <v>8</v>
      </c>
      <c r="BK37" s="190">
        <f t="shared" si="94"/>
        <v>9</v>
      </c>
      <c r="BL37" s="190">
        <f t="shared" si="94"/>
        <v>10</v>
      </c>
      <c r="BM37" s="190">
        <f t="shared" si="94"/>
        <v>11</v>
      </c>
      <c r="BN37" s="190">
        <f t="shared" si="94"/>
        <v>12</v>
      </c>
      <c r="BO37" s="191" t="str">
        <f>BO21</f>
        <v>Итого</v>
      </c>
      <c r="BP37" s="190">
        <v>1</v>
      </c>
      <c r="BQ37" s="190">
        <v>2</v>
      </c>
      <c r="BR37" s="190">
        <f aca="true" t="shared" si="95" ref="BR37:CA37">BQ37+1</f>
        <v>3</v>
      </c>
      <c r="BS37" s="190">
        <f t="shared" si="95"/>
        <v>4</v>
      </c>
      <c r="BT37" s="190">
        <f t="shared" si="95"/>
        <v>5</v>
      </c>
      <c r="BU37" s="190">
        <f t="shared" si="95"/>
        <v>6</v>
      </c>
      <c r="BV37" s="190">
        <f t="shared" si="95"/>
        <v>7</v>
      </c>
      <c r="BW37" s="190">
        <f t="shared" si="95"/>
        <v>8</v>
      </c>
      <c r="BX37" s="190">
        <f t="shared" si="95"/>
        <v>9</v>
      </c>
      <c r="BY37" s="190">
        <f t="shared" si="95"/>
        <v>10</v>
      </c>
      <c r="BZ37" s="190">
        <f t="shared" si="95"/>
        <v>11</v>
      </c>
      <c r="CA37" s="190">
        <f t="shared" si="95"/>
        <v>12</v>
      </c>
      <c r="CB37" s="191" t="str">
        <f>CB21</f>
        <v>Итого</v>
      </c>
      <c r="CC37" s="190">
        <v>1</v>
      </c>
      <c r="CD37" s="190">
        <v>2</v>
      </c>
      <c r="CE37" s="190">
        <f aca="true" t="shared" si="96" ref="CE37:CN37">CD37+1</f>
        <v>3</v>
      </c>
      <c r="CF37" s="190">
        <f t="shared" si="96"/>
        <v>4</v>
      </c>
      <c r="CG37" s="190">
        <f t="shared" si="96"/>
        <v>5</v>
      </c>
      <c r="CH37" s="190">
        <f t="shared" si="96"/>
        <v>6</v>
      </c>
      <c r="CI37" s="190">
        <f t="shared" si="96"/>
        <v>7</v>
      </c>
      <c r="CJ37" s="190">
        <f t="shared" si="96"/>
        <v>8</v>
      </c>
      <c r="CK37" s="190">
        <f t="shared" si="96"/>
        <v>9</v>
      </c>
      <c r="CL37" s="190">
        <f t="shared" si="96"/>
        <v>10</v>
      </c>
      <c r="CM37" s="190">
        <f t="shared" si="96"/>
        <v>11</v>
      </c>
      <c r="CN37" s="190">
        <f t="shared" si="96"/>
        <v>12</v>
      </c>
      <c r="CO37" s="191" t="str">
        <f>CO21</f>
        <v>Итого</v>
      </c>
      <c r="CP37" s="190">
        <v>1</v>
      </c>
      <c r="CQ37" s="190">
        <f aca="true" t="shared" si="97" ref="CQ37:DA37">CP37+1</f>
        <v>2</v>
      </c>
      <c r="CR37" s="190">
        <f t="shared" si="97"/>
        <v>3</v>
      </c>
      <c r="CS37" s="190">
        <f t="shared" si="97"/>
        <v>4</v>
      </c>
      <c r="CT37" s="190">
        <f t="shared" si="97"/>
        <v>5</v>
      </c>
      <c r="CU37" s="190">
        <f t="shared" si="97"/>
        <v>6</v>
      </c>
      <c r="CV37" s="190">
        <f t="shared" si="97"/>
        <v>7</v>
      </c>
      <c r="CW37" s="190">
        <f t="shared" si="97"/>
        <v>8</v>
      </c>
      <c r="CX37" s="190">
        <f t="shared" si="97"/>
        <v>9</v>
      </c>
      <c r="CY37" s="190">
        <f t="shared" si="97"/>
        <v>10</v>
      </c>
      <c r="CZ37" s="190">
        <f t="shared" si="97"/>
        <v>11</v>
      </c>
      <c r="DA37" s="190">
        <f t="shared" si="97"/>
        <v>12</v>
      </c>
      <c r="DB37" s="191" t="str">
        <f>DB21</f>
        <v>Итого</v>
      </c>
      <c r="DC37" s="190">
        <v>1</v>
      </c>
      <c r="DD37" s="190">
        <f aca="true" t="shared" si="98" ref="DD37:DN37">DC37+1</f>
        <v>2</v>
      </c>
      <c r="DE37" s="190">
        <f t="shared" si="98"/>
        <v>3</v>
      </c>
      <c r="DF37" s="190">
        <f t="shared" si="98"/>
        <v>4</v>
      </c>
      <c r="DG37" s="190">
        <f t="shared" si="98"/>
        <v>5</v>
      </c>
      <c r="DH37" s="190">
        <f t="shared" si="98"/>
        <v>6</v>
      </c>
      <c r="DI37" s="190">
        <f t="shared" si="98"/>
        <v>7</v>
      </c>
      <c r="DJ37" s="190">
        <f t="shared" si="98"/>
        <v>8</v>
      </c>
      <c r="DK37" s="190">
        <f t="shared" si="98"/>
        <v>9</v>
      </c>
      <c r="DL37" s="190">
        <f t="shared" si="98"/>
        <v>10</v>
      </c>
      <c r="DM37" s="190">
        <f t="shared" si="98"/>
        <v>11</v>
      </c>
      <c r="DN37" s="190">
        <f t="shared" si="98"/>
        <v>12</v>
      </c>
      <c r="DO37" s="191" t="s">
        <v>0</v>
      </c>
    </row>
    <row r="38" spans="1:119" ht="12.75">
      <c r="A38" s="188" t="s">
        <v>106</v>
      </c>
      <c r="B38" s="193">
        <f>O38+AB38+AO38+BB38+BO38+CB38+CO38+DB38+DO38</f>
        <v>70381.4412</v>
      </c>
      <c r="C38" s="194"/>
      <c r="D38" s="194"/>
      <c r="E38" s="194"/>
      <c r="F38" s="194"/>
      <c r="G38" s="194"/>
      <c r="H38" s="194"/>
      <c r="I38" s="194"/>
      <c r="J38" s="194">
        <f>'1-Ф3'!K$28</f>
        <v>70381.4412</v>
      </c>
      <c r="K38" s="194"/>
      <c r="L38" s="194"/>
      <c r="M38" s="194"/>
      <c r="N38" s="194"/>
      <c r="O38" s="195">
        <f>SUM(C38:N38)</f>
        <v>70381.4412</v>
      </c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>
        <f>SUM(P38:AA38)</f>
        <v>0</v>
      </c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>
        <f>SUM(AC38:AN38)</f>
        <v>0</v>
      </c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194"/>
      <c r="CM38" s="194"/>
      <c r="CN38" s="194"/>
      <c r="CO38" s="194"/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</row>
    <row r="39" spans="1:119" s="197" customFormat="1" ht="20.25" customHeight="1">
      <c r="A39" s="188" t="s">
        <v>31</v>
      </c>
      <c r="B39" s="193">
        <f>O39+AB39+AO39+BB39+BO39+CB39+CO39+DB39+DO39</f>
        <v>3695.0256630000003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>
        <f>SUM(C39:N39)</f>
        <v>0</v>
      </c>
      <c r="P39" s="194"/>
      <c r="Q39" s="194"/>
      <c r="R39" s="194"/>
      <c r="S39" s="194"/>
      <c r="T39" s="194">
        <f>SUM(O40:T40)</f>
        <v>3695.0256630000003</v>
      </c>
      <c r="U39" s="194"/>
      <c r="V39" s="194"/>
      <c r="W39" s="194"/>
      <c r="X39" s="194"/>
      <c r="Y39" s="194"/>
      <c r="Z39" s="194"/>
      <c r="AA39" s="194"/>
      <c r="AB39" s="195">
        <f>SUM(P39:AA39)</f>
        <v>3695.0256630000003</v>
      </c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5">
        <f>SUM(AC39:AN39)</f>
        <v>0</v>
      </c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5">
        <f>SUM(AP39:BA39)</f>
        <v>0</v>
      </c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5">
        <f>SUM(BC39:BN39)</f>
        <v>0</v>
      </c>
      <c r="BP39" s="194"/>
      <c r="BQ39" s="194"/>
      <c r="BR39" s="194"/>
      <c r="BS39" s="194"/>
      <c r="BT39" s="194"/>
      <c r="BU39" s="194"/>
      <c r="BV39" s="194"/>
      <c r="BW39" s="194"/>
      <c r="BX39" s="194"/>
      <c r="BY39" s="194"/>
      <c r="BZ39" s="194"/>
      <c r="CA39" s="194"/>
      <c r="CB39" s="195">
        <f>SUM(BP39:CA39)</f>
        <v>0</v>
      </c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5">
        <f>SUM(CC39:CN39)</f>
        <v>0</v>
      </c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5">
        <f>SUM(CP39:DA39)</f>
        <v>0</v>
      </c>
      <c r="DC39" s="194"/>
      <c r="DD39" s="194"/>
      <c r="DE39" s="194"/>
      <c r="DF39" s="194"/>
      <c r="DG39" s="194"/>
      <c r="DH39" s="194"/>
      <c r="DI39" s="194"/>
      <c r="DJ39" s="194"/>
      <c r="DK39" s="194"/>
      <c r="DL39" s="194"/>
      <c r="DM39" s="194"/>
      <c r="DN39" s="194"/>
      <c r="DO39" s="195">
        <f>SUM(DC39:DN39)</f>
        <v>0</v>
      </c>
    </row>
    <row r="40" spans="1:119" s="197" customFormat="1" ht="12.75">
      <c r="A40" s="198" t="s">
        <v>13</v>
      </c>
      <c r="B40" s="193">
        <f>O40+AB40+AO40+BB40+BO40+CB40+CO40+DB40+DO40</f>
        <v>21289.50538056203</v>
      </c>
      <c r="C40" s="194"/>
      <c r="D40" s="194">
        <f aca="true" t="shared" si="99" ref="D40:N40">C43*$B36/12</f>
        <v>0</v>
      </c>
      <c r="E40" s="194">
        <f t="shared" si="99"/>
        <v>0</v>
      </c>
      <c r="F40" s="194">
        <f t="shared" si="99"/>
        <v>0</v>
      </c>
      <c r="G40" s="194">
        <f t="shared" si="99"/>
        <v>0</v>
      </c>
      <c r="H40" s="194">
        <f t="shared" si="99"/>
        <v>0</v>
      </c>
      <c r="I40" s="194">
        <f t="shared" si="99"/>
        <v>0</v>
      </c>
      <c r="J40" s="194">
        <f t="shared" si="99"/>
        <v>0</v>
      </c>
      <c r="K40" s="194">
        <f t="shared" si="99"/>
        <v>410.55840700000005</v>
      </c>
      <c r="L40" s="194">
        <f t="shared" si="99"/>
        <v>410.55840700000005</v>
      </c>
      <c r="M40" s="194">
        <f t="shared" si="99"/>
        <v>410.55840700000005</v>
      </c>
      <c r="N40" s="194">
        <f t="shared" si="99"/>
        <v>410.55840700000005</v>
      </c>
      <c r="O40" s="195">
        <f>SUM(C40:N40)</f>
        <v>1642.2336280000002</v>
      </c>
      <c r="P40" s="194">
        <f aca="true" t="shared" si="100" ref="P40:AA40">O43*$B36/12</f>
        <v>410.55840700000005</v>
      </c>
      <c r="Q40" s="194">
        <f t="shared" si="100"/>
        <v>410.55840700000005</v>
      </c>
      <c r="R40" s="194">
        <f t="shared" si="100"/>
        <v>410.55840700000005</v>
      </c>
      <c r="S40" s="194">
        <f t="shared" si="100"/>
        <v>410.55840700000005</v>
      </c>
      <c r="T40" s="194">
        <f t="shared" si="100"/>
        <v>410.55840700000005</v>
      </c>
      <c r="U40" s="194">
        <f t="shared" si="100"/>
        <v>432.1127233675001</v>
      </c>
      <c r="V40" s="194">
        <f t="shared" si="100"/>
        <v>427.5034184086557</v>
      </c>
      <c r="W40" s="194">
        <f t="shared" si="100"/>
        <v>422.86722583755136</v>
      </c>
      <c r="X40" s="194">
        <f t="shared" si="100"/>
        <v>418.20398880978223</v>
      </c>
      <c r="Y40" s="194">
        <f t="shared" si="100"/>
        <v>413.51354956601784</v>
      </c>
      <c r="Z40" s="194">
        <f t="shared" si="100"/>
        <v>408.7957494266648</v>
      </c>
      <c r="AA40" s="194">
        <f t="shared" si="100"/>
        <v>404.0504287864989</v>
      </c>
      <c r="AB40" s="195">
        <f>SUM(P40:AA40)</f>
        <v>4979.839119202671</v>
      </c>
      <c r="AC40" s="194">
        <f aca="true" t="shared" si="101" ref="AC40:AN40">AB43*$B36/12</f>
        <v>399.2774271092653</v>
      </c>
      <c r="AD40" s="194">
        <f t="shared" si="101"/>
        <v>394.47658292224787</v>
      </c>
      <c r="AE40" s="194">
        <f t="shared" si="101"/>
        <v>389.6477338108062</v>
      </c>
      <c r="AF40" s="194">
        <f t="shared" si="101"/>
        <v>384.79071641288107</v>
      </c>
      <c r="AG40" s="194">
        <f t="shared" si="101"/>
        <v>379.90536641346813</v>
      </c>
      <c r="AH40" s="194">
        <f t="shared" si="101"/>
        <v>374.9915185390585</v>
      </c>
      <c r="AI40" s="194">
        <f t="shared" si="101"/>
        <v>370.04900655204824</v>
      </c>
      <c r="AJ40" s="194">
        <f t="shared" si="101"/>
        <v>365.0776632451137</v>
      </c>
      <c r="AK40" s="194">
        <f t="shared" si="101"/>
        <v>360.07732043555535</v>
      </c>
      <c r="AL40" s="194">
        <f t="shared" si="101"/>
        <v>355.04780895960795</v>
      </c>
      <c r="AM40" s="194">
        <f t="shared" si="101"/>
        <v>349.9889586667175</v>
      </c>
      <c r="AN40" s="194">
        <f t="shared" si="101"/>
        <v>344.90059841378525</v>
      </c>
      <c r="AO40" s="195">
        <f>SUM(AC40:AN40)</f>
        <v>4468.230701480556</v>
      </c>
      <c r="AP40" s="194">
        <f aca="true" t="shared" si="102" ref="AP40:BA40">AO43*$B36/12</f>
        <v>339.78255605937755</v>
      </c>
      <c r="AQ40" s="194">
        <f t="shared" si="102"/>
        <v>334.63465845790245</v>
      </c>
      <c r="AR40" s="194">
        <f t="shared" si="102"/>
        <v>329.45673145375207</v>
      </c>
      <c r="AS40" s="194">
        <f t="shared" si="102"/>
        <v>324.2485998754108</v>
      </c>
      <c r="AT40" s="194">
        <f t="shared" si="102"/>
        <v>319.01008752952924</v>
      </c>
      <c r="AU40" s="194">
        <f t="shared" si="102"/>
        <v>313.7410171949633</v>
      </c>
      <c r="AV40" s="194">
        <f t="shared" si="102"/>
        <v>308.44121061677913</v>
      </c>
      <c r="AW40" s="194">
        <f t="shared" si="102"/>
        <v>303.11048850022223</v>
      </c>
      <c r="AX40" s="194">
        <f t="shared" si="102"/>
        <v>297.74867050465207</v>
      </c>
      <c r="AY40" s="194">
        <f t="shared" si="102"/>
        <v>292.35557523744103</v>
      </c>
      <c r="AZ40" s="194">
        <f t="shared" si="102"/>
        <v>286.931020247838</v>
      </c>
      <c r="BA40" s="194">
        <f t="shared" si="102"/>
        <v>281.47482202079556</v>
      </c>
      <c r="BB40" s="195">
        <f>SUM(AP40:BA40)</f>
        <v>3730.935437698664</v>
      </c>
      <c r="BC40" s="194">
        <f aca="true" t="shared" si="103" ref="BC40:BN40">BB43*$B36/12</f>
        <v>275.98679597076205</v>
      </c>
      <c r="BD40" s="194">
        <f t="shared" si="103"/>
        <v>270.4667564354367</v>
      </c>
      <c r="BE40" s="194">
        <f t="shared" si="103"/>
        <v>264.9145166694886</v>
      </c>
      <c r="BF40" s="194">
        <f t="shared" si="103"/>
        <v>259.3298888382391</v>
      </c>
      <c r="BG40" s="194">
        <f t="shared" si="103"/>
        <v>253.7126840113074</v>
      </c>
      <c r="BH40" s="194">
        <f t="shared" si="103"/>
        <v>248.06271215621857</v>
      </c>
      <c r="BI40" s="194">
        <f t="shared" si="103"/>
        <v>242.37978213197502</v>
      </c>
      <c r="BJ40" s="194">
        <f t="shared" si="103"/>
        <v>236.66370168259007</v>
      </c>
      <c r="BK40" s="194">
        <f t="shared" si="103"/>
        <v>230.91427743058367</v>
      </c>
      <c r="BL40" s="194">
        <f t="shared" si="103"/>
        <v>225.13131487044063</v>
      </c>
      <c r="BM40" s="194">
        <f t="shared" si="103"/>
        <v>219.31461836203005</v>
      </c>
      <c r="BN40" s="194">
        <f t="shared" si="103"/>
        <v>213.46399112398706</v>
      </c>
      <c r="BO40" s="195">
        <f>SUM(BC40:BN40)</f>
        <v>2940.341039683059</v>
      </c>
      <c r="BP40" s="194">
        <f aca="true" t="shared" si="104" ref="BP40:CA40">BO43*$B36/12</f>
        <v>207.57923522705553</v>
      </c>
      <c r="BQ40" s="194">
        <f t="shared" si="104"/>
        <v>201.66015158739188</v>
      </c>
      <c r="BR40" s="194">
        <f t="shared" si="104"/>
        <v>195.70653995983022</v>
      </c>
      <c r="BS40" s="194">
        <f t="shared" si="104"/>
        <v>189.71819893110774</v>
      </c>
      <c r="BT40" s="194">
        <f t="shared" si="104"/>
        <v>183.69492591305107</v>
      </c>
      <c r="BU40" s="194">
        <f t="shared" si="104"/>
        <v>177.6365171357224</v>
      </c>
      <c r="BV40" s="194">
        <f t="shared" si="104"/>
        <v>171.542767640526</v>
      </c>
      <c r="BW40" s="194">
        <f t="shared" si="104"/>
        <v>165.41347127327427</v>
      </c>
      <c r="BX40" s="194">
        <f t="shared" si="104"/>
        <v>159.24842067721357</v>
      </c>
      <c r="BY40" s="194">
        <f t="shared" si="104"/>
        <v>153.04740728600916</v>
      </c>
      <c r="BZ40" s="194">
        <f t="shared" si="104"/>
        <v>146.8102213166894</v>
      </c>
      <c r="CA40" s="194">
        <f t="shared" si="104"/>
        <v>140.53665176254862</v>
      </c>
      <c r="CB40" s="195">
        <f>SUM(BP40:CA40)</f>
        <v>2092.5945087104196</v>
      </c>
      <c r="CC40" s="194">
        <f aca="true" t="shared" si="105" ref="CC40:CN40">CB43*$B36/12</f>
        <v>134.2264863860087</v>
      </c>
      <c r="CD40" s="194">
        <f t="shared" si="105"/>
        <v>127.87951171143895</v>
      </c>
      <c r="CE40" s="194">
        <f t="shared" si="105"/>
        <v>121.49551301793419</v>
      </c>
      <c r="CF40" s="194">
        <f t="shared" si="105"/>
        <v>115.07427433205068</v>
      </c>
      <c r="CG40" s="194">
        <f t="shared" si="105"/>
        <v>108.6155784204995</v>
      </c>
      <c r="CH40" s="194">
        <f t="shared" si="105"/>
        <v>102.1192067827976</v>
      </c>
      <c r="CI40" s="194">
        <f t="shared" si="105"/>
        <v>95.58493964387579</v>
      </c>
      <c r="CJ40" s="194">
        <f t="shared" si="105"/>
        <v>89.01255594664359</v>
      </c>
      <c r="CK40" s="194">
        <f t="shared" si="105"/>
        <v>82.40183334451088</v>
      </c>
      <c r="CL40" s="194">
        <f t="shared" si="105"/>
        <v>75.75254819386572</v>
      </c>
      <c r="CM40" s="194">
        <f t="shared" si="105"/>
        <v>69.06447554650846</v>
      </c>
      <c r="CN40" s="194">
        <f t="shared" si="105"/>
        <v>62.33738914204162</v>
      </c>
      <c r="CO40" s="195">
        <f>SUM(CC40:CN40)</f>
        <v>1183.5643124681758</v>
      </c>
      <c r="CP40" s="194">
        <f aca="true" t="shared" si="106" ref="CP40:DA40">CO43*$B36/12</f>
        <v>55.5710614002154</v>
      </c>
      <c r="CQ40" s="194">
        <f t="shared" si="106"/>
        <v>48.76526341322852</v>
      </c>
      <c r="CR40" s="194">
        <f t="shared" si="106"/>
        <v>41.91976493798421</v>
      </c>
      <c r="CS40" s="194">
        <f t="shared" si="106"/>
        <v>35.034334388300984</v>
      </c>
      <c r="CT40" s="194">
        <f t="shared" si="106"/>
        <v>28.10873882707794</v>
      </c>
      <c r="CU40" s="194">
        <f t="shared" si="106"/>
        <v>21.142743958414425</v>
      </c>
      <c r="CV40" s="194">
        <f t="shared" si="106"/>
        <v>14.136114119683704</v>
      </c>
      <c r="CW40" s="194">
        <f t="shared" si="106"/>
        <v>7.08861227356039</v>
      </c>
      <c r="CX40" s="194">
        <f t="shared" si="106"/>
        <v>1.3555260617674018E-12</v>
      </c>
      <c r="CY40" s="194">
        <f t="shared" si="106"/>
        <v>1.3555260617674018E-12</v>
      </c>
      <c r="CZ40" s="194">
        <f t="shared" si="106"/>
        <v>1.3555260617674018E-12</v>
      </c>
      <c r="DA40" s="194">
        <f t="shared" si="106"/>
        <v>1.3555260617674018E-12</v>
      </c>
      <c r="DB40" s="195">
        <f>SUM(CP40:DA40)</f>
        <v>251.766633318471</v>
      </c>
      <c r="DC40" s="194">
        <f aca="true" t="shared" si="107" ref="DC40:DN40">DB43*$B36/12</f>
        <v>1.3555260617674018E-12</v>
      </c>
      <c r="DD40" s="194">
        <f t="shared" si="107"/>
        <v>1.3555260617674018E-12</v>
      </c>
      <c r="DE40" s="194">
        <f t="shared" si="107"/>
        <v>1.3555260617674018E-12</v>
      </c>
      <c r="DF40" s="194">
        <f t="shared" si="107"/>
        <v>1.3555260617674018E-12</v>
      </c>
      <c r="DG40" s="194">
        <f t="shared" si="107"/>
        <v>1.3555260617674018E-12</v>
      </c>
      <c r="DH40" s="194">
        <f t="shared" si="107"/>
        <v>1.3555260617674018E-12</v>
      </c>
      <c r="DI40" s="194">
        <f t="shared" si="107"/>
        <v>1.3555260617674018E-12</v>
      </c>
      <c r="DJ40" s="194">
        <f t="shared" si="107"/>
        <v>1.3555260617674018E-12</v>
      </c>
      <c r="DK40" s="194">
        <f t="shared" si="107"/>
        <v>1.3555260617674018E-12</v>
      </c>
      <c r="DL40" s="194">
        <f t="shared" si="107"/>
        <v>1.3555260617674018E-12</v>
      </c>
      <c r="DM40" s="194">
        <f t="shared" si="107"/>
        <v>1.3555260617674018E-12</v>
      </c>
      <c r="DN40" s="194">
        <f t="shared" si="107"/>
        <v>1.3555260617674018E-12</v>
      </c>
      <c r="DO40" s="195">
        <f>SUM(DC40:DN40)</f>
        <v>1.6266312741208823E-11</v>
      </c>
    </row>
    <row r="41" spans="1:119" ht="12.75">
      <c r="A41" s="188" t="s">
        <v>14</v>
      </c>
      <c r="B41" s="193">
        <f>O41+AB41+AO41+BB41+BO41+CB41+CO41+DB41+DO41</f>
        <v>74076.46686299973</v>
      </c>
      <c r="C41" s="194"/>
      <c r="D41" s="194"/>
      <c r="E41" s="194"/>
      <c r="F41" s="194"/>
      <c r="G41" s="194"/>
      <c r="H41" s="194"/>
      <c r="I41" s="194"/>
      <c r="J41" s="194"/>
      <c r="K41" s="199"/>
      <c r="L41" s="199"/>
      <c r="M41" s="199"/>
      <c r="N41" s="199"/>
      <c r="O41" s="195">
        <f>SUM(C41:N41)</f>
        <v>0</v>
      </c>
      <c r="P41" s="199"/>
      <c r="Q41" s="199"/>
      <c r="R41" s="199"/>
      <c r="S41" s="199"/>
      <c r="T41" s="199"/>
      <c r="U41" s="194">
        <f>$B45-U40</f>
        <v>790.1665643733231</v>
      </c>
      <c r="V41" s="194">
        <f aca="true" t="shared" si="108" ref="V41:AA41">$B45-V40</f>
        <v>794.7758693321675</v>
      </c>
      <c r="W41" s="194">
        <f t="shared" si="108"/>
        <v>799.4120619032719</v>
      </c>
      <c r="X41" s="194">
        <f t="shared" si="108"/>
        <v>804.0752989310411</v>
      </c>
      <c r="Y41" s="194">
        <f t="shared" si="108"/>
        <v>808.7657381748054</v>
      </c>
      <c r="Z41" s="194">
        <f t="shared" si="108"/>
        <v>813.4835383141585</v>
      </c>
      <c r="AA41" s="194">
        <f t="shared" si="108"/>
        <v>818.2288589543243</v>
      </c>
      <c r="AB41" s="195">
        <f>SUM(P41:AA41)</f>
        <v>5628.907929983092</v>
      </c>
      <c r="AC41" s="194">
        <f aca="true" t="shared" si="109" ref="AC41:AN41">$B45-AC40</f>
        <v>823.001860631558</v>
      </c>
      <c r="AD41" s="194">
        <f t="shared" si="109"/>
        <v>827.8027048185754</v>
      </c>
      <c r="AE41" s="194">
        <f t="shared" si="109"/>
        <v>832.6315539300172</v>
      </c>
      <c r="AF41" s="194">
        <f t="shared" si="109"/>
        <v>837.4885713279423</v>
      </c>
      <c r="AG41" s="194">
        <f t="shared" si="109"/>
        <v>842.3739213273552</v>
      </c>
      <c r="AH41" s="194">
        <f t="shared" si="109"/>
        <v>847.2877692017648</v>
      </c>
      <c r="AI41" s="194">
        <f t="shared" si="109"/>
        <v>852.230281188775</v>
      </c>
      <c r="AJ41" s="194">
        <f t="shared" si="109"/>
        <v>857.2016244957097</v>
      </c>
      <c r="AK41" s="194">
        <f t="shared" si="109"/>
        <v>862.201967305268</v>
      </c>
      <c r="AL41" s="194">
        <f t="shared" si="109"/>
        <v>867.2314787812154</v>
      </c>
      <c r="AM41" s="194">
        <f t="shared" si="109"/>
        <v>872.2903290741058</v>
      </c>
      <c r="AN41" s="194">
        <f t="shared" si="109"/>
        <v>877.378689327038</v>
      </c>
      <c r="AO41" s="195">
        <f>SUM(AC41:AN41)</f>
        <v>10199.120751409322</v>
      </c>
      <c r="AP41" s="194">
        <f aca="true" t="shared" si="110" ref="AP41:BA41">$B45-AP40</f>
        <v>882.4967316814457</v>
      </c>
      <c r="AQ41" s="194">
        <f t="shared" si="110"/>
        <v>887.6446292829208</v>
      </c>
      <c r="AR41" s="194">
        <f t="shared" si="110"/>
        <v>892.8225562870712</v>
      </c>
      <c r="AS41" s="194">
        <f t="shared" si="110"/>
        <v>898.0306878654126</v>
      </c>
      <c r="AT41" s="194">
        <f t="shared" si="110"/>
        <v>903.269200211294</v>
      </c>
      <c r="AU41" s="194">
        <f t="shared" si="110"/>
        <v>908.53827054586</v>
      </c>
      <c r="AV41" s="194">
        <f t="shared" si="110"/>
        <v>913.8380771240442</v>
      </c>
      <c r="AW41" s="194">
        <f t="shared" si="110"/>
        <v>919.1687992406011</v>
      </c>
      <c r="AX41" s="194">
        <f t="shared" si="110"/>
        <v>924.5306172361712</v>
      </c>
      <c r="AY41" s="194">
        <f t="shared" si="110"/>
        <v>929.9237125033823</v>
      </c>
      <c r="AZ41" s="194">
        <f t="shared" si="110"/>
        <v>935.3482674929853</v>
      </c>
      <c r="BA41" s="194">
        <f t="shared" si="110"/>
        <v>940.8044657200278</v>
      </c>
      <c r="BB41" s="195">
        <f>SUM(AP41:BA41)</f>
        <v>10936.416015191217</v>
      </c>
      <c r="BC41" s="194">
        <f aca="true" t="shared" si="111" ref="BC41:BN41">$B45-BC40</f>
        <v>946.2924917700612</v>
      </c>
      <c r="BD41" s="194">
        <f t="shared" si="111"/>
        <v>951.8125313053865</v>
      </c>
      <c r="BE41" s="194">
        <f t="shared" si="111"/>
        <v>957.3647710713346</v>
      </c>
      <c r="BF41" s="194">
        <f t="shared" si="111"/>
        <v>962.9493989025841</v>
      </c>
      <c r="BG41" s="194">
        <f t="shared" si="111"/>
        <v>968.5666037295159</v>
      </c>
      <c r="BH41" s="194">
        <f t="shared" si="111"/>
        <v>974.2165755846047</v>
      </c>
      <c r="BI41" s="194">
        <f t="shared" si="111"/>
        <v>979.8995056088482</v>
      </c>
      <c r="BJ41" s="194">
        <f t="shared" si="111"/>
        <v>985.6155860582332</v>
      </c>
      <c r="BK41" s="194">
        <f t="shared" si="111"/>
        <v>991.3650103102397</v>
      </c>
      <c r="BL41" s="194">
        <f t="shared" si="111"/>
        <v>997.1479728703827</v>
      </c>
      <c r="BM41" s="194">
        <f t="shared" si="111"/>
        <v>1002.9646693787932</v>
      </c>
      <c r="BN41" s="194">
        <f t="shared" si="111"/>
        <v>1008.8152966168362</v>
      </c>
      <c r="BO41" s="195">
        <f>SUM(BC41:BN41)</f>
        <v>11727.010413206819</v>
      </c>
      <c r="BP41" s="194">
        <f aca="true" t="shared" si="112" ref="BP41:CA41">$B45-BP40</f>
        <v>1014.7000525137678</v>
      </c>
      <c r="BQ41" s="194">
        <f t="shared" si="112"/>
        <v>1020.6191361534314</v>
      </c>
      <c r="BR41" s="194">
        <f t="shared" si="112"/>
        <v>1026.572747780993</v>
      </c>
      <c r="BS41" s="194">
        <f t="shared" si="112"/>
        <v>1032.5610888097156</v>
      </c>
      <c r="BT41" s="194">
        <f t="shared" si="112"/>
        <v>1038.5843618277722</v>
      </c>
      <c r="BU41" s="194">
        <f t="shared" si="112"/>
        <v>1044.6427706051008</v>
      </c>
      <c r="BV41" s="194">
        <f t="shared" si="112"/>
        <v>1050.7365201002972</v>
      </c>
      <c r="BW41" s="194">
        <f t="shared" si="112"/>
        <v>1056.865816467549</v>
      </c>
      <c r="BX41" s="194">
        <f t="shared" si="112"/>
        <v>1063.0308670636098</v>
      </c>
      <c r="BY41" s="194">
        <f t="shared" si="112"/>
        <v>1069.231880454814</v>
      </c>
      <c r="BZ41" s="194">
        <f t="shared" si="112"/>
        <v>1075.4690664241339</v>
      </c>
      <c r="CA41" s="194">
        <f t="shared" si="112"/>
        <v>1081.7426359782746</v>
      </c>
      <c r="CB41" s="195">
        <f>SUM(BP41:CA41)</f>
        <v>12574.756944179459</v>
      </c>
      <c r="CC41" s="194">
        <f aca="true" t="shared" si="113" ref="CC41:CN41">$B45-CC40</f>
        <v>1088.0528013548146</v>
      </c>
      <c r="CD41" s="194">
        <f t="shared" si="113"/>
        <v>1094.3997760293844</v>
      </c>
      <c r="CE41" s="194">
        <f t="shared" si="113"/>
        <v>1100.7837747228891</v>
      </c>
      <c r="CF41" s="194">
        <f t="shared" si="113"/>
        <v>1107.2050134087726</v>
      </c>
      <c r="CG41" s="194">
        <f t="shared" si="113"/>
        <v>1113.6637093203237</v>
      </c>
      <c r="CH41" s="194">
        <f t="shared" si="113"/>
        <v>1120.1600809580257</v>
      </c>
      <c r="CI41" s="194">
        <f t="shared" si="113"/>
        <v>1126.6943480969476</v>
      </c>
      <c r="CJ41" s="194">
        <f t="shared" si="113"/>
        <v>1133.2667317941798</v>
      </c>
      <c r="CK41" s="194">
        <f t="shared" si="113"/>
        <v>1139.8774543963125</v>
      </c>
      <c r="CL41" s="194">
        <f t="shared" si="113"/>
        <v>1146.5267395469575</v>
      </c>
      <c r="CM41" s="194">
        <f t="shared" si="113"/>
        <v>1153.2148121943148</v>
      </c>
      <c r="CN41" s="194">
        <f t="shared" si="113"/>
        <v>1159.9418985987816</v>
      </c>
      <c r="CO41" s="195">
        <f>SUM(CC41:CN41)</f>
        <v>13483.787140421704</v>
      </c>
      <c r="CP41" s="194">
        <f aca="true" t="shared" si="114" ref="CP41:CW41">$B45-CP40</f>
        <v>1166.7082263406078</v>
      </c>
      <c r="CQ41" s="194">
        <f t="shared" si="114"/>
        <v>1173.5140243275948</v>
      </c>
      <c r="CR41" s="194">
        <f t="shared" si="114"/>
        <v>1180.3595228028391</v>
      </c>
      <c r="CS41" s="194">
        <f t="shared" si="114"/>
        <v>1187.2449533525223</v>
      </c>
      <c r="CT41" s="194">
        <f t="shared" si="114"/>
        <v>1194.1705489137453</v>
      </c>
      <c r="CU41" s="194">
        <f t="shared" si="114"/>
        <v>1201.1365437824088</v>
      </c>
      <c r="CV41" s="194">
        <f t="shared" si="114"/>
        <v>1208.1431736211396</v>
      </c>
      <c r="CW41" s="194">
        <f t="shared" si="114"/>
        <v>1215.190675467263</v>
      </c>
      <c r="CX41" s="194"/>
      <c r="CY41" s="194"/>
      <c r="CZ41" s="194"/>
      <c r="DA41" s="194"/>
      <c r="DB41" s="195">
        <f>SUM(CP41:DA41)</f>
        <v>9526.46766860812</v>
      </c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5">
        <f>SUM(DC41:DN41)</f>
        <v>0</v>
      </c>
    </row>
    <row r="42" spans="1:119" ht="12.75">
      <c r="A42" s="188" t="s">
        <v>15</v>
      </c>
      <c r="B42" s="193">
        <f>O42+AB42+AO42+BB42+BO42+CB42+CO42+DB42+DO42</f>
        <v>17594.47971756203</v>
      </c>
      <c r="C42" s="194"/>
      <c r="D42" s="194"/>
      <c r="E42" s="194"/>
      <c r="F42" s="194"/>
      <c r="G42" s="194"/>
      <c r="H42" s="194"/>
      <c r="I42" s="194"/>
      <c r="J42" s="194"/>
      <c r="K42" s="199"/>
      <c r="L42" s="199"/>
      <c r="M42" s="199"/>
      <c r="N42" s="199"/>
      <c r="O42" s="195">
        <f>SUM(C42:N42)</f>
        <v>0</v>
      </c>
      <c r="P42" s="199"/>
      <c r="Q42" s="199"/>
      <c r="R42" s="199"/>
      <c r="S42" s="199"/>
      <c r="T42" s="199"/>
      <c r="U42" s="194">
        <f>U40</f>
        <v>432.1127233675001</v>
      </c>
      <c r="V42" s="194">
        <f aca="true" t="shared" si="115" ref="V42:AA42">V40</f>
        <v>427.5034184086557</v>
      </c>
      <c r="W42" s="194">
        <f t="shared" si="115"/>
        <v>422.86722583755136</v>
      </c>
      <c r="X42" s="194">
        <f t="shared" si="115"/>
        <v>418.20398880978223</v>
      </c>
      <c r="Y42" s="194">
        <f t="shared" si="115"/>
        <v>413.51354956601784</v>
      </c>
      <c r="Z42" s="194">
        <f t="shared" si="115"/>
        <v>408.7957494266648</v>
      </c>
      <c r="AA42" s="194">
        <f t="shared" si="115"/>
        <v>404.0504287864989</v>
      </c>
      <c r="AB42" s="195">
        <f>SUM(P42:AA42)</f>
        <v>2927.0470842026707</v>
      </c>
      <c r="AC42" s="194">
        <f aca="true" t="shared" si="116" ref="AC42:AK42">AC40</f>
        <v>399.2774271092653</v>
      </c>
      <c r="AD42" s="194">
        <f t="shared" si="116"/>
        <v>394.47658292224787</v>
      </c>
      <c r="AE42" s="194">
        <f t="shared" si="116"/>
        <v>389.6477338108062</v>
      </c>
      <c r="AF42" s="194">
        <f t="shared" si="116"/>
        <v>384.79071641288107</v>
      </c>
      <c r="AG42" s="194">
        <f t="shared" si="116"/>
        <v>379.90536641346813</v>
      </c>
      <c r="AH42" s="194">
        <f t="shared" si="116"/>
        <v>374.9915185390585</v>
      </c>
      <c r="AI42" s="194">
        <f t="shared" si="116"/>
        <v>370.04900655204824</v>
      </c>
      <c r="AJ42" s="194">
        <f t="shared" si="116"/>
        <v>365.0776632451137</v>
      </c>
      <c r="AK42" s="194">
        <f t="shared" si="116"/>
        <v>360.07732043555535</v>
      </c>
      <c r="AL42" s="194">
        <f>AL40</f>
        <v>355.04780895960795</v>
      </c>
      <c r="AM42" s="194">
        <f>AM40</f>
        <v>349.9889586667175</v>
      </c>
      <c r="AN42" s="194">
        <f>AN40</f>
        <v>344.90059841378525</v>
      </c>
      <c r="AO42" s="195">
        <f>SUM(AC42:AN42)</f>
        <v>4468.230701480556</v>
      </c>
      <c r="AP42" s="194">
        <f aca="true" t="shared" si="117" ref="AP42:BA42">AP40</f>
        <v>339.78255605937755</v>
      </c>
      <c r="AQ42" s="194">
        <f t="shared" si="117"/>
        <v>334.63465845790245</v>
      </c>
      <c r="AR42" s="194">
        <f t="shared" si="117"/>
        <v>329.45673145375207</v>
      </c>
      <c r="AS42" s="194">
        <f t="shared" si="117"/>
        <v>324.2485998754108</v>
      </c>
      <c r="AT42" s="194">
        <f t="shared" si="117"/>
        <v>319.01008752952924</v>
      </c>
      <c r="AU42" s="194">
        <f t="shared" si="117"/>
        <v>313.7410171949633</v>
      </c>
      <c r="AV42" s="194">
        <f t="shared" si="117"/>
        <v>308.44121061677913</v>
      </c>
      <c r="AW42" s="194">
        <f t="shared" si="117"/>
        <v>303.11048850022223</v>
      </c>
      <c r="AX42" s="194">
        <f t="shared" si="117"/>
        <v>297.74867050465207</v>
      </c>
      <c r="AY42" s="194">
        <f t="shared" si="117"/>
        <v>292.35557523744103</v>
      </c>
      <c r="AZ42" s="194">
        <f t="shared" si="117"/>
        <v>286.931020247838</v>
      </c>
      <c r="BA42" s="194">
        <f t="shared" si="117"/>
        <v>281.47482202079556</v>
      </c>
      <c r="BB42" s="195">
        <f>SUM(AP42:BA42)</f>
        <v>3730.935437698664</v>
      </c>
      <c r="BC42" s="194">
        <f aca="true" t="shared" si="118" ref="BC42:BN42">BC40</f>
        <v>275.98679597076205</v>
      </c>
      <c r="BD42" s="194">
        <f t="shared" si="118"/>
        <v>270.4667564354367</v>
      </c>
      <c r="BE42" s="194">
        <f t="shared" si="118"/>
        <v>264.9145166694886</v>
      </c>
      <c r="BF42" s="194">
        <f t="shared" si="118"/>
        <v>259.3298888382391</v>
      </c>
      <c r="BG42" s="194">
        <f t="shared" si="118"/>
        <v>253.7126840113074</v>
      </c>
      <c r="BH42" s="194">
        <f t="shared" si="118"/>
        <v>248.06271215621857</v>
      </c>
      <c r="BI42" s="194">
        <f t="shared" si="118"/>
        <v>242.37978213197502</v>
      </c>
      <c r="BJ42" s="194">
        <f t="shared" si="118"/>
        <v>236.66370168259007</v>
      </c>
      <c r="BK42" s="194">
        <f t="shared" si="118"/>
        <v>230.91427743058367</v>
      </c>
      <c r="BL42" s="194">
        <f t="shared" si="118"/>
        <v>225.13131487044063</v>
      </c>
      <c r="BM42" s="194">
        <f t="shared" si="118"/>
        <v>219.31461836203005</v>
      </c>
      <c r="BN42" s="194">
        <f t="shared" si="118"/>
        <v>213.46399112398706</v>
      </c>
      <c r="BO42" s="195">
        <f>SUM(BC42:BN42)</f>
        <v>2940.341039683059</v>
      </c>
      <c r="BP42" s="194">
        <f aca="true" t="shared" si="119" ref="BP42:CA42">BP40</f>
        <v>207.57923522705553</v>
      </c>
      <c r="BQ42" s="194">
        <f t="shared" si="119"/>
        <v>201.66015158739188</v>
      </c>
      <c r="BR42" s="194">
        <f t="shared" si="119"/>
        <v>195.70653995983022</v>
      </c>
      <c r="BS42" s="194">
        <f t="shared" si="119"/>
        <v>189.71819893110774</v>
      </c>
      <c r="BT42" s="194">
        <f t="shared" si="119"/>
        <v>183.69492591305107</v>
      </c>
      <c r="BU42" s="194">
        <f t="shared" si="119"/>
        <v>177.6365171357224</v>
      </c>
      <c r="BV42" s="194">
        <f t="shared" si="119"/>
        <v>171.542767640526</v>
      </c>
      <c r="BW42" s="194">
        <f t="shared" si="119"/>
        <v>165.41347127327427</v>
      </c>
      <c r="BX42" s="194">
        <f t="shared" si="119"/>
        <v>159.24842067721357</v>
      </c>
      <c r="BY42" s="194">
        <f t="shared" si="119"/>
        <v>153.04740728600916</v>
      </c>
      <c r="BZ42" s="194">
        <f t="shared" si="119"/>
        <v>146.8102213166894</v>
      </c>
      <c r="CA42" s="194">
        <f t="shared" si="119"/>
        <v>140.53665176254862</v>
      </c>
      <c r="CB42" s="195">
        <f>SUM(BP42:CA42)</f>
        <v>2092.5945087104196</v>
      </c>
      <c r="CC42" s="194">
        <f aca="true" t="shared" si="120" ref="CC42:CN42">CC40</f>
        <v>134.2264863860087</v>
      </c>
      <c r="CD42" s="194">
        <f t="shared" si="120"/>
        <v>127.87951171143895</v>
      </c>
      <c r="CE42" s="194">
        <f t="shared" si="120"/>
        <v>121.49551301793419</v>
      </c>
      <c r="CF42" s="194">
        <f t="shared" si="120"/>
        <v>115.07427433205068</v>
      </c>
      <c r="CG42" s="194">
        <f t="shared" si="120"/>
        <v>108.6155784204995</v>
      </c>
      <c r="CH42" s="194">
        <f t="shared" si="120"/>
        <v>102.1192067827976</v>
      </c>
      <c r="CI42" s="194">
        <f t="shared" si="120"/>
        <v>95.58493964387579</v>
      </c>
      <c r="CJ42" s="194">
        <f t="shared" si="120"/>
        <v>89.01255594664359</v>
      </c>
      <c r="CK42" s="194">
        <f t="shared" si="120"/>
        <v>82.40183334451088</v>
      </c>
      <c r="CL42" s="194">
        <f t="shared" si="120"/>
        <v>75.75254819386572</v>
      </c>
      <c r="CM42" s="194">
        <f t="shared" si="120"/>
        <v>69.06447554650846</v>
      </c>
      <c r="CN42" s="194">
        <f t="shared" si="120"/>
        <v>62.33738914204162</v>
      </c>
      <c r="CO42" s="195">
        <f>SUM(CC42:CN42)</f>
        <v>1183.5643124681758</v>
      </c>
      <c r="CP42" s="194">
        <f aca="true" t="shared" si="121" ref="CP42:DA42">CP40</f>
        <v>55.5710614002154</v>
      </c>
      <c r="CQ42" s="194">
        <f t="shared" si="121"/>
        <v>48.76526341322852</v>
      </c>
      <c r="CR42" s="194">
        <f t="shared" si="121"/>
        <v>41.91976493798421</v>
      </c>
      <c r="CS42" s="194">
        <f t="shared" si="121"/>
        <v>35.034334388300984</v>
      </c>
      <c r="CT42" s="194">
        <f t="shared" si="121"/>
        <v>28.10873882707794</v>
      </c>
      <c r="CU42" s="194">
        <f t="shared" si="121"/>
        <v>21.142743958414425</v>
      </c>
      <c r="CV42" s="194">
        <f t="shared" si="121"/>
        <v>14.136114119683704</v>
      </c>
      <c r="CW42" s="194">
        <f t="shared" si="121"/>
        <v>7.08861227356039</v>
      </c>
      <c r="CX42" s="194">
        <f t="shared" si="121"/>
        <v>1.3555260617674018E-12</v>
      </c>
      <c r="CY42" s="194">
        <f t="shared" si="121"/>
        <v>1.3555260617674018E-12</v>
      </c>
      <c r="CZ42" s="194">
        <f t="shared" si="121"/>
        <v>1.3555260617674018E-12</v>
      </c>
      <c r="DA42" s="194">
        <f t="shared" si="121"/>
        <v>1.3555260617674018E-12</v>
      </c>
      <c r="DB42" s="195">
        <f>SUM(CP42:DA42)</f>
        <v>251.766633318471</v>
      </c>
      <c r="DC42" s="194">
        <f aca="true" t="shared" si="122" ref="DC42:DN42">DC40</f>
        <v>1.3555260617674018E-12</v>
      </c>
      <c r="DD42" s="194">
        <f t="shared" si="122"/>
        <v>1.3555260617674018E-12</v>
      </c>
      <c r="DE42" s="194">
        <f t="shared" si="122"/>
        <v>1.3555260617674018E-12</v>
      </c>
      <c r="DF42" s="194">
        <f t="shared" si="122"/>
        <v>1.3555260617674018E-12</v>
      </c>
      <c r="DG42" s="194">
        <f t="shared" si="122"/>
        <v>1.3555260617674018E-12</v>
      </c>
      <c r="DH42" s="194">
        <f t="shared" si="122"/>
        <v>1.3555260617674018E-12</v>
      </c>
      <c r="DI42" s="194">
        <f t="shared" si="122"/>
        <v>1.3555260617674018E-12</v>
      </c>
      <c r="DJ42" s="194">
        <f t="shared" si="122"/>
        <v>1.3555260617674018E-12</v>
      </c>
      <c r="DK42" s="194">
        <f t="shared" si="122"/>
        <v>1.3555260617674018E-12</v>
      </c>
      <c r="DL42" s="194">
        <f t="shared" si="122"/>
        <v>1.3555260617674018E-12</v>
      </c>
      <c r="DM42" s="194">
        <f t="shared" si="122"/>
        <v>1.3555260617674018E-12</v>
      </c>
      <c r="DN42" s="194">
        <f t="shared" si="122"/>
        <v>1.3555260617674018E-12</v>
      </c>
      <c r="DO42" s="195">
        <f>SUM(DC42:DN42)</f>
        <v>1.6266312741208823E-11</v>
      </c>
    </row>
    <row r="43" spans="1:119" ht="12.75">
      <c r="A43" s="188" t="s">
        <v>16</v>
      </c>
      <c r="B43" s="193">
        <f>DO43</f>
        <v>2.3237589630298316E-10</v>
      </c>
      <c r="C43" s="194">
        <f>C38</f>
        <v>0</v>
      </c>
      <c r="D43" s="194">
        <f aca="true" t="shared" si="123" ref="D43:N43">C43+D38-D41+D39</f>
        <v>0</v>
      </c>
      <c r="E43" s="194">
        <f t="shared" si="123"/>
        <v>0</v>
      </c>
      <c r="F43" s="194">
        <f t="shared" si="123"/>
        <v>0</v>
      </c>
      <c r="G43" s="194">
        <f t="shared" si="123"/>
        <v>0</v>
      </c>
      <c r="H43" s="194">
        <f t="shared" si="123"/>
        <v>0</v>
      </c>
      <c r="I43" s="194">
        <f t="shared" si="123"/>
        <v>0</v>
      </c>
      <c r="J43" s="194">
        <f t="shared" si="123"/>
        <v>70381.4412</v>
      </c>
      <c r="K43" s="194">
        <f t="shared" si="123"/>
        <v>70381.4412</v>
      </c>
      <c r="L43" s="194">
        <f t="shared" si="123"/>
        <v>70381.4412</v>
      </c>
      <c r="M43" s="194">
        <f t="shared" si="123"/>
        <v>70381.4412</v>
      </c>
      <c r="N43" s="194">
        <f t="shared" si="123"/>
        <v>70381.4412</v>
      </c>
      <c r="O43" s="195">
        <f>N43</f>
        <v>70381.4412</v>
      </c>
      <c r="P43" s="194">
        <f aca="true" t="shared" si="124" ref="P43:AA43">O43+P38-P41+P39</f>
        <v>70381.4412</v>
      </c>
      <c r="Q43" s="194">
        <f t="shared" si="124"/>
        <v>70381.4412</v>
      </c>
      <c r="R43" s="194">
        <f t="shared" si="124"/>
        <v>70381.4412</v>
      </c>
      <c r="S43" s="194">
        <f t="shared" si="124"/>
        <v>70381.4412</v>
      </c>
      <c r="T43" s="194">
        <f t="shared" si="124"/>
        <v>74076.46686300001</v>
      </c>
      <c r="U43" s="194">
        <f t="shared" si="124"/>
        <v>73286.30029862668</v>
      </c>
      <c r="V43" s="194">
        <f t="shared" si="124"/>
        <v>72491.52442929451</v>
      </c>
      <c r="W43" s="194">
        <f t="shared" si="124"/>
        <v>71692.11236739124</v>
      </c>
      <c r="X43" s="194">
        <f t="shared" si="124"/>
        <v>70888.0370684602</v>
      </c>
      <c r="Y43" s="194">
        <f t="shared" si="124"/>
        <v>70079.2713302854</v>
      </c>
      <c r="Z43" s="194">
        <f t="shared" si="124"/>
        <v>69265.78779197123</v>
      </c>
      <c r="AA43" s="194">
        <f t="shared" si="124"/>
        <v>68447.5589330169</v>
      </c>
      <c r="AB43" s="195">
        <f>AA43</f>
        <v>68447.5589330169</v>
      </c>
      <c r="AC43" s="194">
        <f aca="true" t="shared" si="125" ref="AC43:AN43">AB43+AC38-AC41+AC39</f>
        <v>67624.55707238535</v>
      </c>
      <c r="AD43" s="194">
        <f t="shared" si="125"/>
        <v>66796.75436756677</v>
      </c>
      <c r="AE43" s="194">
        <f t="shared" si="125"/>
        <v>65964.12281363676</v>
      </c>
      <c r="AF43" s="194">
        <f t="shared" si="125"/>
        <v>65126.63424230881</v>
      </c>
      <c r="AG43" s="194">
        <f t="shared" si="125"/>
        <v>64284.260320981455</v>
      </c>
      <c r="AH43" s="194">
        <f t="shared" si="125"/>
        <v>63436.97255177969</v>
      </c>
      <c r="AI43" s="194">
        <f t="shared" si="125"/>
        <v>62584.74227059091</v>
      </c>
      <c r="AJ43" s="194">
        <f t="shared" si="125"/>
        <v>61727.5406460952</v>
      </c>
      <c r="AK43" s="194">
        <f t="shared" si="125"/>
        <v>60865.33867878993</v>
      </c>
      <c r="AL43" s="194">
        <f t="shared" si="125"/>
        <v>59998.107200008715</v>
      </c>
      <c r="AM43" s="194">
        <f t="shared" si="125"/>
        <v>59125.81687093461</v>
      </c>
      <c r="AN43" s="194">
        <f t="shared" si="125"/>
        <v>58248.43818160757</v>
      </c>
      <c r="AO43" s="195">
        <f>AN43</f>
        <v>58248.43818160757</v>
      </c>
      <c r="AP43" s="194">
        <f aca="true" t="shared" si="126" ref="AP43:BA43">AO43+AP38-AP41+AP39</f>
        <v>57365.941449926126</v>
      </c>
      <c r="AQ43" s="194">
        <f t="shared" si="126"/>
        <v>56478.296820643205</v>
      </c>
      <c r="AR43" s="194">
        <f t="shared" si="126"/>
        <v>55585.47426435613</v>
      </c>
      <c r="AS43" s="194">
        <f t="shared" si="126"/>
        <v>54687.44357649072</v>
      </c>
      <c r="AT43" s="194">
        <f t="shared" si="126"/>
        <v>53784.17437627942</v>
      </c>
      <c r="AU43" s="194">
        <f t="shared" si="126"/>
        <v>52875.63610573356</v>
      </c>
      <c r="AV43" s="194">
        <f t="shared" si="126"/>
        <v>51961.79802860952</v>
      </c>
      <c r="AW43" s="194">
        <f t="shared" si="126"/>
        <v>51042.62922936892</v>
      </c>
      <c r="AX43" s="194">
        <f t="shared" si="126"/>
        <v>50118.098612132744</v>
      </c>
      <c r="AY43" s="194">
        <f t="shared" si="126"/>
        <v>49188.17489962936</v>
      </c>
      <c r="AZ43" s="194">
        <f t="shared" si="126"/>
        <v>48252.82663213638</v>
      </c>
      <c r="BA43" s="194">
        <f t="shared" si="126"/>
        <v>47312.02216641635</v>
      </c>
      <c r="BB43" s="195">
        <f>BA43</f>
        <v>47312.02216641635</v>
      </c>
      <c r="BC43" s="194">
        <f aca="true" t="shared" si="127" ref="BC43:BN43">BB43+BC38-BC41+BC39</f>
        <v>46365.72967464629</v>
      </c>
      <c r="BD43" s="194">
        <f t="shared" si="127"/>
        <v>45413.9171433409</v>
      </c>
      <c r="BE43" s="194">
        <f t="shared" si="127"/>
        <v>44456.552372269565</v>
      </c>
      <c r="BF43" s="194">
        <f t="shared" si="127"/>
        <v>43493.60297336698</v>
      </c>
      <c r="BG43" s="194">
        <f t="shared" si="127"/>
        <v>42525.03636963746</v>
      </c>
      <c r="BH43" s="194">
        <f t="shared" si="127"/>
        <v>41550.819794052855</v>
      </c>
      <c r="BI43" s="194">
        <f t="shared" si="127"/>
        <v>40570.92028844401</v>
      </c>
      <c r="BJ43" s="194">
        <f t="shared" si="127"/>
        <v>39585.30470238577</v>
      </c>
      <c r="BK43" s="194">
        <f t="shared" si="127"/>
        <v>38593.93969207553</v>
      </c>
      <c r="BL43" s="194">
        <f t="shared" si="127"/>
        <v>37596.79171920515</v>
      </c>
      <c r="BM43" s="194">
        <f t="shared" si="127"/>
        <v>36593.82704982635</v>
      </c>
      <c r="BN43" s="194">
        <f t="shared" si="127"/>
        <v>35585.01175320952</v>
      </c>
      <c r="BO43" s="195">
        <f>BN43</f>
        <v>35585.01175320952</v>
      </c>
      <c r="BP43" s="194">
        <f aca="true" t="shared" si="128" ref="BP43:CA43">BO43+BP38-BP41+BP39</f>
        <v>34570.31170069575</v>
      </c>
      <c r="BQ43" s="194">
        <f t="shared" si="128"/>
        <v>33549.69256454232</v>
      </c>
      <c r="BR43" s="194">
        <f t="shared" si="128"/>
        <v>32523.119816761326</v>
      </c>
      <c r="BS43" s="194">
        <f t="shared" si="128"/>
        <v>31490.55872795161</v>
      </c>
      <c r="BT43" s="194">
        <f t="shared" si="128"/>
        <v>30451.97436612384</v>
      </c>
      <c r="BU43" s="194">
        <f t="shared" si="128"/>
        <v>29407.33159551874</v>
      </c>
      <c r="BV43" s="194">
        <f t="shared" si="128"/>
        <v>28356.59507541844</v>
      </c>
      <c r="BW43" s="194">
        <f t="shared" si="128"/>
        <v>27299.729258950894</v>
      </c>
      <c r="BX43" s="194">
        <f t="shared" si="128"/>
        <v>26236.698391887283</v>
      </c>
      <c r="BY43" s="194">
        <f t="shared" si="128"/>
        <v>25167.466511432467</v>
      </c>
      <c r="BZ43" s="194">
        <f t="shared" si="128"/>
        <v>24091.997445008332</v>
      </c>
      <c r="CA43" s="194">
        <f t="shared" si="128"/>
        <v>23010.25480903006</v>
      </c>
      <c r="CB43" s="195">
        <f>CA43</f>
        <v>23010.25480903006</v>
      </c>
      <c r="CC43" s="194">
        <f aca="true" t="shared" si="129" ref="CC43:CN43">CB43+CC38-CC41+CC39</f>
        <v>21922.202007675245</v>
      </c>
      <c r="CD43" s="194">
        <f t="shared" si="129"/>
        <v>20827.80223164586</v>
      </c>
      <c r="CE43" s="194">
        <f t="shared" si="129"/>
        <v>19727.01845692297</v>
      </c>
      <c r="CF43" s="194">
        <f t="shared" si="129"/>
        <v>18619.8134435142</v>
      </c>
      <c r="CG43" s="194">
        <f t="shared" si="129"/>
        <v>17506.149734193874</v>
      </c>
      <c r="CH43" s="194">
        <f t="shared" si="129"/>
        <v>16385.989653235847</v>
      </c>
      <c r="CI43" s="194">
        <f t="shared" si="129"/>
        <v>15259.2953051389</v>
      </c>
      <c r="CJ43" s="194">
        <f t="shared" si="129"/>
        <v>14126.02857334472</v>
      </c>
      <c r="CK43" s="194">
        <f t="shared" si="129"/>
        <v>12986.151118948408</v>
      </c>
      <c r="CL43" s="194">
        <f t="shared" si="129"/>
        <v>11839.62437940145</v>
      </c>
      <c r="CM43" s="194">
        <f t="shared" si="129"/>
        <v>10686.409567207134</v>
      </c>
      <c r="CN43" s="194">
        <f t="shared" si="129"/>
        <v>9526.467668608353</v>
      </c>
      <c r="CO43" s="195">
        <f>CN43</f>
        <v>9526.467668608353</v>
      </c>
      <c r="CP43" s="194">
        <f aca="true" t="shared" si="130" ref="CP43:DA43">CO43+CP38-CP41+CP39</f>
        <v>8359.759442267745</v>
      </c>
      <c r="CQ43" s="194">
        <f t="shared" si="130"/>
        <v>7186.24541794015</v>
      </c>
      <c r="CR43" s="194">
        <f t="shared" si="130"/>
        <v>6005.885895137311</v>
      </c>
      <c r="CS43" s="194">
        <f t="shared" si="130"/>
        <v>4818.640941784789</v>
      </c>
      <c r="CT43" s="194">
        <f t="shared" si="130"/>
        <v>3624.4703928710437</v>
      </c>
      <c r="CU43" s="194">
        <f t="shared" si="130"/>
        <v>2423.333849088635</v>
      </c>
      <c r="CV43" s="194">
        <f t="shared" si="130"/>
        <v>1215.1906754674953</v>
      </c>
      <c r="CW43" s="194">
        <f t="shared" si="130"/>
        <v>2.3237589630298316E-10</v>
      </c>
      <c r="CX43" s="194">
        <f t="shared" si="130"/>
        <v>2.3237589630298316E-10</v>
      </c>
      <c r="CY43" s="194">
        <f t="shared" si="130"/>
        <v>2.3237589630298316E-10</v>
      </c>
      <c r="CZ43" s="194">
        <f t="shared" si="130"/>
        <v>2.3237589630298316E-10</v>
      </c>
      <c r="DA43" s="194">
        <f t="shared" si="130"/>
        <v>2.3237589630298316E-10</v>
      </c>
      <c r="DB43" s="195">
        <f>DA43</f>
        <v>2.3237589630298316E-10</v>
      </c>
      <c r="DC43" s="194">
        <f aca="true" t="shared" si="131" ref="DC43:DN43">DB43+DC38-DC41+DC39</f>
        <v>2.3237589630298316E-10</v>
      </c>
      <c r="DD43" s="194">
        <f t="shared" si="131"/>
        <v>2.3237589630298316E-10</v>
      </c>
      <c r="DE43" s="194">
        <f t="shared" si="131"/>
        <v>2.3237589630298316E-10</v>
      </c>
      <c r="DF43" s="194">
        <f t="shared" si="131"/>
        <v>2.3237589630298316E-10</v>
      </c>
      <c r="DG43" s="194">
        <f t="shared" si="131"/>
        <v>2.3237589630298316E-10</v>
      </c>
      <c r="DH43" s="194">
        <f t="shared" si="131"/>
        <v>2.3237589630298316E-10</v>
      </c>
      <c r="DI43" s="194">
        <f t="shared" si="131"/>
        <v>2.3237589630298316E-10</v>
      </c>
      <c r="DJ43" s="194">
        <f t="shared" si="131"/>
        <v>2.3237589630298316E-10</v>
      </c>
      <c r="DK43" s="194">
        <f t="shared" si="131"/>
        <v>2.3237589630298316E-10</v>
      </c>
      <c r="DL43" s="194">
        <f t="shared" si="131"/>
        <v>2.3237589630298316E-10</v>
      </c>
      <c r="DM43" s="194">
        <f t="shared" si="131"/>
        <v>2.3237589630298316E-10</v>
      </c>
      <c r="DN43" s="194">
        <f t="shared" si="131"/>
        <v>2.3237589630298316E-10</v>
      </c>
      <c r="DO43" s="195">
        <f>DN43</f>
        <v>2.3237589630298316E-10</v>
      </c>
    </row>
    <row r="44" spans="1:119" ht="12.75">
      <c r="A44" s="177" t="s">
        <v>78</v>
      </c>
      <c r="B44" s="285">
        <f>Исх!$C$49*12-Исх!$C$50</f>
        <v>75</v>
      </c>
      <c r="CP44" s="180"/>
      <c r="DB44" s="177"/>
      <c r="DO44" s="177"/>
    </row>
    <row r="45" spans="1:119" ht="12.75">
      <c r="A45" s="288" t="s">
        <v>258</v>
      </c>
      <c r="B45" s="289">
        <f>$T$43*$B$20/12/((1-(1+$B$20/12)^-$B44))</f>
        <v>1222.2792877408233</v>
      </c>
      <c r="DB45" s="177"/>
      <c r="DO45" s="177"/>
    </row>
    <row r="46" spans="1:119" ht="6" customHeight="1">
      <c r="A46" s="286"/>
      <c r="B46" s="283"/>
      <c r="DB46" s="177"/>
      <c r="DO46" s="177"/>
    </row>
    <row r="47" spans="1:119" ht="12.75">
      <c r="A47" s="271" t="s">
        <v>244</v>
      </c>
      <c r="DB47" s="177"/>
      <c r="DO47" s="177"/>
    </row>
    <row r="48" spans="1:119" ht="12.75" hidden="1" outlineLevel="1">
      <c r="A48" s="272">
        <f>B38+B39-B41</f>
        <v>2.764863893389702E-10</v>
      </c>
      <c r="DB48" s="177"/>
      <c r="DO48" s="177"/>
    </row>
    <row r="49" spans="1:119" ht="12.75" hidden="1" outlineLevel="1">
      <c r="A49" s="272">
        <f>B40-B39-B42</f>
        <v>0</v>
      </c>
      <c r="DB49" s="177"/>
      <c r="DO49" s="177"/>
    </row>
    <row r="50" ht="12.75" collapsed="1"/>
    <row r="51" spans="1:119" ht="12.75">
      <c r="A51" s="297" t="s">
        <v>282</v>
      </c>
      <c r="B51" s="298"/>
      <c r="DB51" s="177"/>
      <c r="DO51" s="177"/>
    </row>
    <row r="52" spans="1:119" ht="15.75" customHeight="1">
      <c r="A52" s="186" t="s">
        <v>11</v>
      </c>
      <c r="B52" s="287">
        <f>Исх!$C$48</f>
        <v>0.07</v>
      </c>
      <c r="C52" s="363">
        <v>2013</v>
      </c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>
        <v>2014</v>
      </c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>
        <v>2015</v>
      </c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3"/>
      <c r="AO52" s="363"/>
      <c r="AP52" s="363">
        <v>2016</v>
      </c>
      <c r="AQ52" s="363"/>
      <c r="AR52" s="363"/>
      <c r="AS52" s="363"/>
      <c r="AT52" s="363"/>
      <c r="AU52" s="363"/>
      <c r="AV52" s="363"/>
      <c r="AW52" s="363"/>
      <c r="AX52" s="363"/>
      <c r="AY52" s="363"/>
      <c r="AZ52" s="363"/>
      <c r="BA52" s="363"/>
      <c r="BB52" s="363"/>
      <c r="BC52" s="363">
        <v>2017</v>
      </c>
      <c r="BD52" s="363"/>
      <c r="BE52" s="363"/>
      <c r="BF52" s="363"/>
      <c r="BG52" s="363"/>
      <c r="BH52" s="363"/>
      <c r="BI52" s="363"/>
      <c r="BJ52" s="363"/>
      <c r="BK52" s="363"/>
      <c r="BL52" s="363"/>
      <c r="BM52" s="363"/>
      <c r="BN52" s="363"/>
      <c r="BO52" s="363"/>
      <c r="BP52" s="363">
        <v>2018</v>
      </c>
      <c r="BQ52" s="363"/>
      <c r="BR52" s="363"/>
      <c r="BS52" s="363"/>
      <c r="BT52" s="363"/>
      <c r="BU52" s="363"/>
      <c r="BV52" s="363"/>
      <c r="BW52" s="363"/>
      <c r="BX52" s="363"/>
      <c r="BY52" s="363"/>
      <c r="BZ52" s="363"/>
      <c r="CA52" s="363"/>
      <c r="CB52" s="363"/>
      <c r="CC52" s="363">
        <v>2019</v>
      </c>
      <c r="CD52" s="363"/>
      <c r="CE52" s="363"/>
      <c r="CF52" s="363"/>
      <c r="CG52" s="363"/>
      <c r="CH52" s="363"/>
      <c r="CI52" s="363"/>
      <c r="CJ52" s="363"/>
      <c r="CK52" s="363"/>
      <c r="CL52" s="363"/>
      <c r="CM52" s="363"/>
      <c r="CN52" s="363"/>
      <c r="CO52" s="363"/>
      <c r="CP52" s="363">
        <v>2020</v>
      </c>
      <c r="CQ52" s="363"/>
      <c r="CR52" s="363"/>
      <c r="CS52" s="363"/>
      <c r="CT52" s="363"/>
      <c r="CU52" s="363"/>
      <c r="CV52" s="363"/>
      <c r="CW52" s="363"/>
      <c r="CX52" s="363"/>
      <c r="CY52" s="363"/>
      <c r="CZ52" s="363"/>
      <c r="DA52" s="363"/>
      <c r="DB52" s="363"/>
      <c r="DC52" s="363">
        <v>2021</v>
      </c>
      <c r="DD52" s="363"/>
      <c r="DE52" s="363"/>
      <c r="DF52" s="363"/>
      <c r="DG52" s="363"/>
      <c r="DH52" s="363"/>
      <c r="DI52" s="363"/>
      <c r="DJ52" s="363"/>
      <c r="DK52" s="363"/>
      <c r="DL52" s="363"/>
      <c r="DM52" s="363"/>
      <c r="DN52" s="363"/>
      <c r="DO52" s="363"/>
    </row>
    <row r="53" spans="1:119" s="192" customFormat="1" ht="15" customHeight="1">
      <c r="A53" s="188" t="s">
        <v>9</v>
      </c>
      <c r="B53" s="189" t="s">
        <v>89</v>
      </c>
      <c r="C53" s="190">
        <v>1</v>
      </c>
      <c r="D53" s="190">
        <v>2</v>
      </c>
      <c r="E53" s="190">
        <f aca="true" t="shared" si="132" ref="E53:N53">D53+1</f>
        <v>3</v>
      </c>
      <c r="F53" s="190">
        <f t="shared" si="132"/>
        <v>4</v>
      </c>
      <c r="G53" s="190">
        <f t="shared" si="132"/>
        <v>5</v>
      </c>
      <c r="H53" s="190">
        <f t="shared" si="132"/>
        <v>6</v>
      </c>
      <c r="I53" s="190">
        <f t="shared" si="132"/>
        <v>7</v>
      </c>
      <c r="J53" s="190">
        <f t="shared" si="132"/>
        <v>8</v>
      </c>
      <c r="K53" s="190">
        <f t="shared" si="132"/>
        <v>9</v>
      </c>
      <c r="L53" s="190">
        <f t="shared" si="132"/>
        <v>10</v>
      </c>
      <c r="M53" s="190">
        <f t="shared" si="132"/>
        <v>11</v>
      </c>
      <c r="N53" s="190">
        <f t="shared" si="132"/>
        <v>12</v>
      </c>
      <c r="O53" s="191" t="str">
        <f>O37</f>
        <v>Итого</v>
      </c>
      <c r="P53" s="190">
        <v>1</v>
      </c>
      <c r="Q53" s="190">
        <v>2</v>
      </c>
      <c r="R53" s="190">
        <f aca="true" t="shared" si="133" ref="R53:AA53">Q53+1</f>
        <v>3</v>
      </c>
      <c r="S53" s="190">
        <f t="shared" si="133"/>
        <v>4</v>
      </c>
      <c r="T53" s="190">
        <f t="shared" si="133"/>
        <v>5</v>
      </c>
      <c r="U53" s="190">
        <f t="shared" si="133"/>
        <v>6</v>
      </c>
      <c r="V53" s="190">
        <f t="shared" si="133"/>
        <v>7</v>
      </c>
      <c r="W53" s="190">
        <f t="shared" si="133"/>
        <v>8</v>
      </c>
      <c r="X53" s="190">
        <f t="shared" si="133"/>
        <v>9</v>
      </c>
      <c r="Y53" s="190">
        <f t="shared" si="133"/>
        <v>10</v>
      </c>
      <c r="Z53" s="190">
        <f t="shared" si="133"/>
        <v>11</v>
      </c>
      <c r="AA53" s="190">
        <f t="shared" si="133"/>
        <v>12</v>
      </c>
      <c r="AB53" s="191" t="str">
        <f>AB37</f>
        <v>Итого</v>
      </c>
      <c r="AC53" s="190">
        <v>1</v>
      </c>
      <c r="AD53" s="190">
        <v>2</v>
      </c>
      <c r="AE53" s="190">
        <f aca="true" t="shared" si="134" ref="AE53:AN53">AD53+1</f>
        <v>3</v>
      </c>
      <c r="AF53" s="190">
        <f t="shared" si="134"/>
        <v>4</v>
      </c>
      <c r="AG53" s="190">
        <f t="shared" si="134"/>
        <v>5</v>
      </c>
      <c r="AH53" s="190">
        <f t="shared" si="134"/>
        <v>6</v>
      </c>
      <c r="AI53" s="190">
        <f t="shared" si="134"/>
        <v>7</v>
      </c>
      <c r="AJ53" s="190">
        <f t="shared" si="134"/>
        <v>8</v>
      </c>
      <c r="AK53" s="190">
        <f t="shared" si="134"/>
        <v>9</v>
      </c>
      <c r="AL53" s="190">
        <f t="shared" si="134"/>
        <v>10</v>
      </c>
      <c r="AM53" s="190">
        <f t="shared" si="134"/>
        <v>11</v>
      </c>
      <c r="AN53" s="190">
        <f t="shared" si="134"/>
        <v>12</v>
      </c>
      <c r="AO53" s="191" t="str">
        <f>AO37</f>
        <v>Итого</v>
      </c>
      <c r="AP53" s="190">
        <v>1</v>
      </c>
      <c r="AQ53" s="190">
        <v>2</v>
      </c>
      <c r="AR53" s="190">
        <f aca="true" t="shared" si="135" ref="AR53:BA53">AQ53+1</f>
        <v>3</v>
      </c>
      <c r="AS53" s="190">
        <f t="shared" si="135"/>
        <v>4</v>
      </c>
      <c r="AT53" s="190">
        <f t="shared" si="135"/>
        <v>5</v>
      </c>
      <c r="AU53" s="190">
        <f t="shared" si="135"/>
        <v>6</v>
      </c>
      <c r="AV53" s="190">
        <f t="shared" si="135"/>
        <v>7</v>
      </c>
      <c r="AW53" s="190">
        <f t="shared" si="135"/>
        <v>8</v>
      </c>
      <c r="AX53" s="190">
        <f t="shared" si="135"/>
        <v>9</v>
      </c>
      <c r="AY53" s="190">
        <f t="shared" si="135"/>
        <v>10</v>
      </c>
      <c r="AZ53" s="190">
        <f t="shared" si="135"/>
        <v>11</v>
      </c>
      <c r="BA53" s="190">
        <f t="shared" si="135"/>
        <v>12</v>
      </c>
      <c r="BB53" s="191" t="str">
        <f>BB37</f>
        <v>Итого</v>
      </c>
      <c r="BC53" s="190">
        <v>1</v>
      </c>
      <c r="BD53" s="190">
        <v>2</v>
      </c>
      <c r="BE53" s="190">
        <f aca="true" t="shared" si="136" ref="BE53:BN53">BD53+1</f>
        <v>3</v>
      </c>
      <c r="BF53" s="190">
        <f t="shared" si="136"/>
        <v>4</v>
      </c>
      <c r="BG53" s="190">
        <f t="shared" si="136"/>
        <v>5</v>
      </c>
      <c r="BH53" s="190">
        <f t="shared" si="136"/>
        <v>6</v>
      </c>
      <c r="BI53" s="190">
        <f t="shared" si="136"/>
        <v>7</v>
      </c>
      <c r="BJ53" s="190">
        <f t="shared" si="136"/>
        <v>8</v>
      </c>
      <c r="BK53" s="190">
        <f t="shared" si="136"/>
        <v>9</v>
      </c>
      <c r="BL53" s="190">
        <f t="shared" si="136"/>
        <v>10</v>
      </c>
      <c r="BM53" s="190">
        <f t="shared" si="136"/>
        <v>11</v>
      </c>
      <c r="BN53" s="190">
        <f t="shared" si="136"/>
        <v>12</v>
      </c>
      <c r="BO53" s="191" t="str">
        <f>BO37</f>
        <v>Итого</v>
      </c>
      <c r="BP53" s="190">
        <v>1</v>
      </c>
      <c r="BQ53" s="190">
        <v>2</v>
      </c>
      <c r="BR53" s="190">
        <f aca="true" t="shared" si="137" ref="BR53:CA53">BQ53+1</f>
        <v>3</v>
      </c>
      <c r="BS53" s="190">
        <f t="shared" si="137"/>
        <v>4</v>
      </c>
      <c r="BT53" s="190">
        <f t="shared" si="137"/>
        <v>5</v>
      </c>
      <c r="BU53" s="190">
        <f t="shared" si="137"/>
        <v>6</v>
      </c>
      <c r="BV53" s="190">
        <f t="shared" si="137"/>
        <v>7</v>
      </c>
      <c r="BW53" s="190">
        <f t="shared" si="137"/>
        <v>8</v>
      </c>
      <c r="BX53" s="190">
        <f t="shared" si="137"/>
        <v>9</v>
      </c>
      <c r="BY53" s="190">
        <f t="shared" si="137"/>
        <v>10</v>
      </c>
      <c r="BZ53" s="190">
        <f t="shared" si="137"/>
        <v>11</v>
      </c>
      <c r="CA53" s="190">
        <f t="shared" si="137"/>
        <v>12</v>
      </c>
      <c r="CB53" s="191" t="str">
        <f>CB37</f>
        <v>Итого</v>
      </c>
      <c r="CC53" s="190">
        <v>1</v>
      </c>
      <c r="CD53" s="190">
        <v>2</v>
      </c>
      <c r="CE53" s="190">
        <f aca="true" t="shared" si="138" ref="CE53:CN53">CD53+1</f>
        <v>3</v>
      </c>
      <c r="CF53" s="190">
        <f t="shared" si="138"/>
        <v>4</v>
      </c>
      <c r="CG53" s="190">
        <f t="shared" si="138"/>
        <v>5</v>
      </c>
      <c r="CH53" s="190">
        <f t="shared" si="138"/>
        <v>6</v>
      </c>
      <c r="CI53" s="190">
        <f t="shared" si="138"/>
        <v>7</v>
      </c>
      <c r="CJ53" s="190">
        <f t="shared" si="138"/>
        <v>8</v>
      </c>
      <c r="CK53" s="190">
        <f t="shared" si="138"/>
        <v>9</v>
      </c>
      <c r="CL53" s="190">
        <f t="shared" si="138"/>
        <v>10</v>
      </c>
      <c r="CM53" s="190">
        <f t="shared" si="138"/>
        <v>11</v>
      </c>
      <c r="CN53" s="190">
        <f t="shared" si="138"/>
        <v>12</v>
      </c>
      <c r="CO53" s="191" t="str">
        <f>CO37</f>
        <v>Итого</v>
      </c>
      <c r="CP53" s="190">
        <v>1</v>
      </c>
      <c r="CQ53" s="190">
        <f aca="true" t="shared" si="139" ref="CQ53:DA53">CP53+1</f>
        <v>2</v>
      </c>
      <c r="CR53" s="190">
        <f t="shared" si="139"/>
        <v>3</v>
      </c>
      <c r="CS53" s="190">
        <f t="shared" si="139"/>
        <v>4</v>
      </c>
      <c r="CT53" s="190">
        <f t="shared" si="139"/>
        <v>5</v>
      </c>
      <c r="CU53" s="190">
        <f t="shared" si="139"/>
        <v>6</v>
      </c>
      <c r="CV53" s="190">
        <f t="shared" si="139"/>
        <v>7</v>
      </c>
      <c r="CW53" s="190">
        <f t="shared" si="139"/>
        <v>8</v>
      </c>
      <c r="CX53" s="190">
        <f t="shared" si="139"/>
        <v>9</v>
      </c>
      <c r="CY53" s="190">
        <f t="shared" si="139"/>
        <v>10</v>
      </c>
      <c r="CZ53" s="190">
        <f t="shared" si="139"/>
        <v>11</v>
      </c>
      <c r="DA53" s="190">
        <f t="shared" si="139"/>
        <v>12</v>
      </c>
      <c r="DB53" s="191" t="str">
        <f>DB37</f>
        <v>Итого</v>
      </c>
      <c r="DC53" s="190">
        <v>1</v>
      </c>
      <c r="DD53" s="190">
        <f aca="true" t="shared" si="140" ref="DD53:DN53">DC53+1</f>
        <v>2</v>
      </c>
      <c r="DE53" s="190">
        <f t="shared" si="140"/>
        <v>3</v>
      </c>
      <c r="DF53" s="190">
        <f t="shared" si="140"/>
        <v>4</v>
      </c>
      <c r="DG53" s="190">
        <f t="shared" si="140"/>
        <v>5</v>
      </c>
      <c r="DH53" s="190">
        <f t="shared" si="140"/>
        <v>6</v>
      </c>
      <c r="DI53" s="190">
        <f t="shared" si="140"/>
        <v>7</v>
      </c>
      <c r="DJ53" s="190">
        <f t="shared" si="140"/>
        <v>8</v>
      </c>
      <c r="DK53" s="190">
        <f t="shared" si="140"/>
        <v>9</v>
      </c>
      <c r="DL53" s="190">
        <f t="shared" si="140"/>
        <v>10</v>
      </c>
      <c r="DM53" s="190">
        <f t="shared" si="140"/>
        <v>11</v>
      </c>
      <c r="DN53" s="190">
        <f t="shared" si="140"/>
        <v>12</v>
      </c>
      <c r="DO53" s="191" t="s">
        <v>0</v>
      </c>
    </row>
    <row r="54" spans="1:119" ht="12.75">
      <c r="A54" s="188" t="s">
        <v>106</v>
      </c>
      <c r="B54" s="193">
        <f>O54+AB54+AO54+BB54+BO54+CB54+CO54+DB54+DO54</f>
        <v>20634.75</v>
      </c>
      <c r="C54" s="194"/>
      <c r="D54" s="194"/>
      <c r="E54" s="194"/>
      <c r="F54" s="194"/>
      <c r="G54" s="194"/>
      <c r="H54" s="194"/>
      <c r="I54" s="194"/>
      <c r="J54" s="194"/>
      <c r="K54" s="194">
        <f>'1-Ф3'!L$28</f>
        <v>20634.75</v>
      </c>
      <c r="L54" s="194"/>
      <c r="M54" s="194"/>
      <c r="N54" s="194"/>
      <c r="O54" s="195">
        <f>SUM(C54:N54)</f>
        <v>20634.75</v>
      </c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>
        <f>SUM(P54:AA54)</f>
        <v>0</v>
      </c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>
        <f>SUM(AC54:AN54)</f>
        <v>0</v>
      </c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</row>
    <row r="55" spans="1:119" s="197" customFormat="1" ht="20.25" customHeight="1">
      <c r="A55" s="188" t="s">
        <v>31</v>
      </c>
      <c r="B55" s="193">
        <f>O55+AB55+AO55+BB55+BO55+CB55+CO55+DB55+DO55</f>
        <v>1083.3243750000001</v>
      </c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5">
        <f>SUM(C55:N55)</f>
        <v>0</v>
      </c>
      <c r="P55" s="194"/>
      <c r="Q55" s="194"/>
      <c r="R55" s="194"/>
      <c r="S55" s="194"/>
      <c r="T55" s="194"/>
      <c r="U55" s="194">
        <f>SUM(O56:U56)</f>
        <v>1083.3243750000001</v>
      </c>
      <c r="V55" s="194"/>
      <c r="W55" s="194"/>
      <c r="X55" s="194"/>
      <c r="Y55" s="194"/>
      <c r="Z55" s="194"/>
      <c r="AA55" s="194"/>
      <c r="AB55" s="195">
        <f>SUM(P55:AA55)</f>
        <v>1083.3243750000001</v>
      </c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5">
        <f>SUM(AC55:AN55)</f>
        <v>0</v>
      </c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5">
        <f>SUM(AP55:BA55)</f>
        <v>0</v>
      </c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5">
        <f>SUM(BC55:BN55)</f>
        <v>0</v>
      </c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5">
        <f>SUM(BP55:CA55)</f>
        <v>0</v>
      </c>
      <c r="CC55" s="194"/>
      <c r="CD55" s="194"/>
      <c r="CE55" s="194"/>
      <c r="CF55" s="194"/>
      <c r="CG55" s="194"/>
      <c r="CH55" s="194"/>
      <c r="CI55" s="194"/>
      <c r="CJ55" s="194"/>
      <c r="CK55" s="194"/>
      <c r="CL55" s="194"/>
      <c r="CM55" s="194"/>
      <c r="CN55" s="194"/>
      <c r="CO55" s="195">
        <f>SUM(CC55:CN55)</f>
        <v>0</v>
      </c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5">
        <f>SUM(CP55:DA55)</f>
        <v>0</v>
      </c>
      <c r="DC55" s="194"/>
      <c r="DD55" s="194"/>
      <c r="DE55" s="194"/>
      <c r="DF55" s="194"/>
      <c r="DG55" s="194"/>
      <c r="DH55" s="194"/>
      <c r="DI55" s="194"/>
      <c r="DJ55" s="194"/>
      <c r="DK55" s="194"/>
      <c r="DL55" s="194"/>
      <c r="DM55" s="194"/>
      <c r="DN55" s="194"/>
      <c r="DO55" s="195">
        <f>SUM(DC55:DN55)</f>
        <v>0</v>
      </c>
    </row>
    <row r="56" spans="1:119" s="197" customFormat="1" ht="12.75">
      <c r="A56" s="198" t="s">
        <v>13</v>
      </c>
      <c r="B56" s="193">
        <f>O56+AB56+AO56+BB56+BO56+CB56+CO56+DB56+DO56</f>
        <v>6241.75370184879</v>
      </c>
      <c r="C56" s="194"/>
      <c r="D56" s="194">
        <f aca="true" t="shared" si="141" ref="D56:N56">C59*$B52/12</f>
        <v>0</v>
      </c>
      <c r="E56" s="194">
        <f t="shared" si="141"/>
        <v>0</v>
      </c>
      <c r="F56" s="194">
        <f t="shared" si="141"/>
        <v>0</v>
      </c>
      <c r="G56" s="194">
        <f t="shared" si="141"/>
        <v>0</v>
      </c>
      <c r="H56" s="194">
        <f t="shared" si="141"/>
        <v>0</v>
      </c>
      <c r="I56" s="194">
        <f t="shared" si="141"/>
        <v>0</v>
      </c>
      <c r="J56" s="194">
        <f t="shared" si="141"/>
        <v>0</v>
      </c>
      <c r="K56" s="194">
        <f t="shared" si="141"/>
        <v>0</v>
      </c>
      <c r="L56" s="194">
        <f t="shared" si="141"/>
        <v>120.369375</v>
      </c>
      <c r="M56" s="194">
        <f t="shared" si="141"/>
        <v>120.369375</v>
      </c>
      <c r="N56" s="194">
        <f t="shared" si="141"/>
        <v>120.369375</v>
      </c>
      <c r="O56" s="195">
        <f>SUM(C56:N56)</f>
        <v>361.10812500000003</v>
      </c>
      <c r="P56" s="194">
        <f aca="true" t="shared" si="142" ref="P56:AA56">O59*$B52/12</f>
        <v>120.369375</v>
      </c>
      <c r="Q56" s="194">
        <f t="shared" si="142"/>
        <v>120.369375</v>
      </c>
      <c r="R56" s="194">
        <f t="shared" si="142"/>
        <v>120.369375</v>
      </c>
      <c r="S56" s="194">
        <f t="shared" si="142"/>
        <v>120.369375</v>
      </c>
      <c r="T56" s="194">
        <f t="shared" si="142"/>
        <v>120.369375</v>
      </c>
      <c r="U56" s="194">
        <f t="shared" si="142"/>
        <v>120.369375</v>
      </c>
      <c r="V56" s="194">
        <f t="shared" si="142"/>
        <v>126.6887671875</v>
      </c>
      <c r="W56" s="194">
        <f t="shared" si="142"/>
        <v>125.33739026372776</v>
      </c>
      <c r="X56" s="194">
        <f t="shared" si="142"/>
        <v>123.97813030790017</v>
      </c>
      <c r="Y56" s="194">
        <f t="shared" si="142"/>
        <v>122.61094133566358</v>
      </c>
      <c r="Z56" s="194">
        <f t="shared" si="142"/>
        <v>121.23577709442229</v>
      </c>
      <c r="AA56" s="194">
        <f t="shared" si="142"/>
        <v>119.85259106177374</v>
      </c>
      <c r="AB56" s="195">
        <f>SUM(P56:AA56)</f>
        <v>1461.9198472509875</v>
      </c>
      <c r="AC56" s="194">
        <f aca="true" t="shared" si="143" ref="AC56:AN56">AB59*$B52/12</f>
        <v>118.46133644393473</v>
      </c>
      <c r="AD56" s="194">
        <f t="shared" si="143"/>
        <v>117.06196617415834</v>
      </c>
      <c r="AE56" s="194">
        <f t="shared" si="143"/>
        <v>115.65443291114161</v>
      </c>
      <c r="AF56" s="194">
        <f t="shared" si="143"/>
        <v>114.23868903742392</v>
      </c>
      <c r="AG56" s="194">
        <f t="shared" si="143"/>
        <v>112.81468665777622</v>
      </c>
      <c r="AH56" s="194">
        <f t="shared" si="143"/>
        <v>111.38237759758057</v>
      </c>
      <c r="AI56" s="194">
        <f t="shared" si="143"/>
        <v>109.94171340120045</v>
      </c>
      <c r="AJ56" s="194">
        <f t="shared" si="143"/>
        <v>108.49264533034143</v>
      </c>
      <c r="AK56" s="194">
        <f t="shared" si="143"/>
        <v>107.03512436240243</v>
      </c>
      <c r="AL56" s="194">
        <f t="shared" si="143"/>
        <v>105.56910118881711</v>
      </c>
      <c r="AM56" s="194">
        <f t="shared" si="143"/>
        <v>104.09452621338586</v>
      </c>
      <c r="AN56" s="194">
        <f t="shared" si="143"/>
        <v>102.61134955059794</v>
      </c>
      <c r="AO56" s="195">
        <f>SUM(AC56:AN56)</f>
        <v>1327.3579488687606</v>
      </c>
      <c r="AP56" s="194">
        <f aca="true" t="shared" si="144" ref="AP56:BA56">AO59*$B52/12</f>
        <v>101.11952102394373</v>
      </c>
      <c r="AQ56" s="194">
        <f t="shared" si="144"/>
        <v>99.6189901642174</v>
      </c>
      <c r="AR56" s="194">
        <f t="shared" si="144"/>
        <v>98.10970620780932</v>
      </c>
      <c r="AS56" s="194">
        <f t="shared" si="144"/>
        <v>96.59161809498886</v>
      </c>
      <c r="AT56" s="194">
        <f t="shared" si="144"/>
        <v>95.06467446817696</v>
      </c>
      <c r="AU56" s="194">
        <f t="shared" si="144"/>
        <v>93.52882367020864</v>
      </c>
      <c r="AV56" s="194">
        <f t="shared" si="144"/>
        <v>91.9840137425855</v>
      </c>
      <c r="AW56" s="194">
        <f t="shared" si="144"/>
        <v>90.43019242371793</v>
      </c>
      <c r="AX56" s="194">
        <f t="shared" si="144"/>
        <v>88.86730714715692</v>
      </c>
      <c r="AY56" s="194">
        <f t="shared" si="144"/>
        <v>87.29530503981601</v>
      </c>
      <c r="AZ56" s="194">
        <f t="shared" si="144"/>
        <v>85.71413292018225</v>
      </c>
      <c r="BA56" s="194">
        <f t="shared" si="144"/>
        <v>84.12373729651732</v>
      </c>
      <c r="BB56" s="195">
        <f>SUM(AP56:BA56)</f>
        <v>1112.4480221993208</v>
      </c>
      <c r="BC56" s="194">
        <f aca="true" t="shared" si="145" ref="BC56:BN56">BB59*$B52/12</f>
        <v>82.52406436504766</v>
      </c>
      <c r="BD56" s="194">
        <f t="shared" si="145"/>
        <v>80.91506000814442</v>
      </c>
      <c r="BE56" s="194">
        <f t="shared" si="145"/>
        <v>79.29666979249258</v>
      </c>
      <c r="BF56" s="194">
        <f t="shared" si="145"/>
        <v>77.66883896724944</v>
      </c>
      <c r="BG56" s="194">
        <f t="shared" si="145"/>
        <v>76.0315124621924</v>
      </c>
      <c r="BH56" s="194">
        <f t="shared" si="145"/>
        <v>74.38463488585585</v>
      </c>
      <c r="BI56" s="194">
        <f t="shared" si="145"/>
        <v>72.72815052365732</v>
      </c>
      <c r="BJ56" s="194">
        <f t="shared" si="145"/>
        <v>71.06200333601265</v>
      </c>
      <c r="BK56" s="194">
        <f t="shared" si="145"/>
        <v>69.38613695644004</v>
      </c>
      <c r="BL56" s="194">
        <f t="shared" si="145"/>
        <v>67.70049468965327</v>
      </c>
      <c r="BM56" s="194">
        <f t="shared" si="145"/>
        <v>66.00501950964357</v>
      </c>
      <c r="BN56" s="194">
        <f t="shared" si="145"/>
        <v>64.29965405775049</v>
      </c>
      <c r="BO56" s="195">
        <f>SUM(BC56:BN56)</f>
        <v>882.0022395541398</v>
      </c>
      <c r="BP56" s="194">
        <f aca="true" t="shared" si="146" ref="BP56:CA56">BO59*$B52/12</f>
        <v>62.584340640721344</v>
      </c>
      <c r="BQ56" s="194">
        <f t="shared" si="146"/>
        <v>60.85902122875954</v>
      </c>
      <c r="BR56" s="194">
        <f t="shared" si="146"/>
        <v>59.12363745356129</v>
      </c>
      <c r="BS56" s="194">
        <f t="shared" si="146"/>
        <v>57.37813060634105</v>
      </c>
      <c r="BT56" s="194">
        <f t="shared" si="146"/>
        <v>55.62244163584537</v>
      </c>
      <c r="BU56" s="194">
        <f t="shared" si="146"/>
        <v>53.85651114635513</v>
      </c>
      <c r="BV56" s="194">
        <f t="shared" si="146"/>
        <v>52.08027939567619</v>
      </c>
      <c r="BW56" s="194">
        <f t="shared" si="146"/>
        <v>50.29368629311829</v>
      </c>
      <c r="BX56" s="194">
        <f t="shared" si="146"/>
        <v>48.49667139746214</v>
      </c>
      <c r="BY56" s="194">
        <f t="shared" si="146"/>
        <v>46.689173914914655</v>
      </c>
      <c r="BZ56" s="194">
        <f t="shared" si="146"/>
        <v>44.87113269705231</v>
      </c>
      <c r="CA56" s="194">
        <f t="shared" si="146"/>
        <v>43.042486238752446</v>
      </c>
      <c r="CB56" s="195">
        <f>SUM(BP56:CA56)</f>
        <v>634.8975126485598</v>
      </c>
      <c r="CC56" s="194">
        <f aca="true" t="shared" si="147" ref="CC56:CN56">CB59*$B52/12</f>
        <v>41.203172676112494</v>
      </c>
      <c r="CD56" s="194">
        <f t="shared" si="147"/>
        <v>39.35312978435714</v>
      </c>
      <c r="CE56" s="194">
        <f t="shared" si="147"/>
        <v>37.49229497573321</v>
      </c>
      <c r="CF56" s="194">
        <f t="shared" si="147"/>
        <v>35.62060529739231</v>
      </c>
      <c r="CG56" s="194">
        <f t="shared" si="147"/>
        <v>33.73799742926109</v>
      </c>
      <c r="CH56" s="194">
        <f t="shared" si="147"/>
        <v>31.844407681899103</v>
      </c>
      <c r="CI56" s="194">
        <f t="shared" si="147"/>
        <v>29.939771994344174</v>
      </c>
      <c r="CJ56" s="194">
        <f t="shared" si="147"/>
        <v>28.02402593194517</v>
      </c>
      <c r="CK56" s="194">
        <f t="shared" si="147"/>
        <v>26.097104684182174</v>
      </c>
      <c r="CL56" s="194">
        <f t="shared" si="147"/>
        <v>24.158943062473895</v>
      </c>
      <c r="CM56" s="194">
        <f t="shared" si="147"/>
        <v>22.209475497972317</v>
      </c>
      <c r="CN56" s="194">
        <f t="shared" si="147"/>
        <v>20.24863603934448</v>
      </c>
      <c r="CO56" s="195">
        <f>SUM(CC56:CN56)</f>
        <v>369.9295650550176</v>
      </c>
      <c r="CP56" s="194">
        <f aca="true" t="shared" si="148" ref="CP56:DA56">CO59*$B52/12</f>
        <v>18.27635835054131</v>
      </c>
      <c r="CQ56" s="194">
        <f t="shared" si="148"/>
        <v>16.29257570855346</v>
      </c>
      <c r="CR56" s="194">
        <f t="shared" si="148"/>
        <v>14.297221001154012</v>
      </c>
      <c r="CS56" s="194">
        <f t="shared" si="148"/>
        <v>12.290226724628068</v>
      </c>
      <c r="CT56" s="194">
        <f t="shared" si="148"/>
        <v>10.271524981489053</v>
      </c>
      <c r="CU56" s="194">
        <f t="shared" si="148"/>
        <v>8.24104747818173</v>
      </c>
      <c r="CV56" s="194">
        <f t="shared" si="148"/>
        <v>6.198725522771781</v>
      </c>
      <c r="CW56" s="194">
        <f t="shared" si="148"/>
        <v>4.144490022621939</v>
      </c>
      <c r="CX56" s="194">
        <f t="shared" si="148"/>
        <v>2.0782714820545576</v>
      </c>
      <c r="CY56" s="194">
        <f t="shared" si="148"/>
        <v>5.328596823043578E-13</v>
      </c>
      <c r="CZ56" s="194">
        <f t="shared" si="148"/>
        <v>5.328596823043578E-13</v>
      </c>
      <c r="DA56" s="194">
        <f t="shared" si="148"/>
        <v>5.328596823043578E-13</v>
      </c>
      <c r="DB56" s="195">
        <f>SUM(CP56:DA56)</f>
        <v>92.09044127199749</v>
      </c>
      <c r="DC56" s="194">
        <f aca="true" t="shared" si="149" ref="DC56:DN56">DB59*$B52/12</f>
        <v>5.328596823043578E-13</v>
      </c>
      <c r="DD56" s="194">
        <f t="shared" si="149"/>
        <v>5.328596823043578E-13</v>
      </c>
      <c r="DE56" s="194">
        <f t="shared" si="149"/>
        <v>5.328596823043578E-13</v>
      </c>
      <c r="DF56" s="194">
        <f t="shared" si="149"/>
        <v>5.328596823043578E-13</v>
      </c>
      <c r="DG56" s="194">
        <f t="shared" si="149"/>
        <v>5.328596823043578E-13</v>
      </c>
      <c r="DH56" s="194">
        <f t="shared" si="149"/>
        <v>5.328596823043578E-13</v>
      </c>
      <c r="DI56" s="194">
        <f t="shared" si="149"/>
        <v>5.328596823043578E-13</v>
      </c>
      <c r="DJ56" s="194">
        <f t="shared" si="149"/>
        <v>5.328596823043578E-13</v>
      </c>
      <c r="DK56" s="194">
        <f t="shared" si="149"/>
        <v>5.328596823043578E-13</v>
      </c>
      <c r="DL56" s="194">
        <f t="shared" si="149"/>
        <v>5.328596823043578E-13</v>
      </c>
      <c r="DM56" s="194">
        <f t="shared" si="149"/>
        <v>5.328596823043578E-13</v>
      </c>
      <c r="DN56" s="194">
        <f t="shared" si="149"/>
        <v>5.328596823043578E-13</v>
      </c>
      <c r="DO56" s="195">
        <f>SUM(DC56:DN56)</f>
        <v>6.394316187652294E-12</v>
      </c>
    </row>
    <row r="57" spans="1:119" ht="12.75">
      <c r="A57" s="188" t="s">
        <v>14</v>
      </c>
      <c r="B57" s="193">
        <f>O57+AB57+AO57+BB57+BO57+CB57+CO57+DB57+DO57</f>
        <v>21718.07437499991</v>
      </c>
      <c r="C57" s="194"/>
      <c r="D57" s="194"/>
      <c r="E57" s="194"/>
      <c r="F57" s="194"/>
      <c r="G57" s="194"/>
      <c r="H57" s="194"/>
      <c r="I57" s="194"/>
      <c r="J57" s="194"/>
      <c r="K57" s="194"/>
      <c r="L57" s="199"/>
      <c r="M57" s="199"/>
      <c r="N57" s="199"/>
      <c r="O57" s="195">
        <f>SUM(C57:N57)</f>
        <v>0</v>
      </c>
      <c r="P57" s="199"/>
      <c r="Q57" s="199"/>
      <c r="R57" s="199"/>
      <c r="S57" s="199"/>
      <c r="T57" s="199"/>
      <c r="U57" s="199"/>
      <c r="V57" s="194">
        <f aca="true" t="shared" si="150" ref="V57:AA57">$B61-V56</f>
        <v>231.66461550381592</v>
      </c>
      <c r="W57" s="194">
        <f t="shared" si="150"/>
        <v>233.01599242758817</v>
      </c>
      <c r="X57" s="194">
        <f t="shared" si="150"/>
        <v>234.37525238341573</v>
      </c>
      <c r="Y57" s="194">
        <f t="shared" si="150"/>
        <v>235.74244135565232</v>
      </c>
      <c r="Z57" s="194">
        <f t="shared" si="150"/>
        <v>237.1176055968936</v>
      </c>
      <c r="AA57" s="194">
        <f t="shared" si="150"/>
        <v>238.50079162954216</v>
      </c>
      <c r="AB57" s="195">
        <f>SUM(P57:AA57)</f>
        <v>1410.416698896908</v>
      </c>
      <c r="AC57" s="194">
        <f aca="true" t="shared" si="151" ref="AC57:AN57">$B61-AC56</f>
        <v>239.8920462473812</v>
      </c>
      <c r="AD57" s="194">
        <f t="shared" si="151"/>
        <v>241.2914165171576</v>
      </c>
      <c r="AE57" s="194">
        <f t="shared" si="151"/>
        <v>242.6989497801743</v>
      </c>
      <c r="AF57" s="194">
        <f t="shared" si="151"/>
        <v>244.114693653892</v>
      </c>
      <c r="AG57" s="194">
        <f t="shared" si="151"/>
        <v>245.53869603353968</v>
      </c>
      <c r="AH57" s="194">
        <f t="shared" si="151"/>
        <v>246.97100509373536</v>
      </c>
      <c r="AI57" s="194">
        <f t="shared" si="151"/>
        <v>248.41166929011547</v>
      </c>
      <c r="AJ57" s="194">
        <f t="shared" si="151"/>
        <v>249.8607373609745</v>
      </c>
      <c r="AK57" s="194">
        <f t="shared" si="151"/>
        <v>251.3182583289135</v>
      </c>
      <c r="AL57" s="194">
        <f t="shared" si="151"/>
        <v>252.7842815024988</v>
      </c>
      <c r="AM57" s="194">
        <f t="shared" si="151"/>
        <v>254.25885647793007</v>
      </c>
      <c r="AN57" s="194">
        <f t="shared" si="151"/>
        <v>255.74203314071798</v>
      </c>
      <c r="AO57" s="195">
        <f>SUM(AC57:AN57)</f>
        <v>2972.88264342703</v>
      </c>
      <c r="AP57" s="194">
        <f aca="true" t="shared" si="152" ref="AP57:BA57">$B61-AP56</f>
        <v>257.2338616673722</v>
      </c>
      <c r="AQ57" s="194">
        <f t="shared" si="152"/>
        <v>258.7343925270985</v>
      </c>
      <c r="AR57" s="194">
        <f t="shared" si="152"/>
        <v>260.2436764835066</v>
      </c>
      <c r="AS57" s="194">
        <f t="shared" si="152"/>
        <v>261.76176459632705</v>
      </c>
      <c r="AT57" s="194">
        <f t="shared" si="152"/>
        <v>263.28870822313894</v>
      </c>
      <c r="AU57" s="194">
        <f t="shared" si="152"/>
        <v>264.8245590211073</v>
      </c>
      <c r="AV57" s="194">
        <f t="shared" si="152"/>
        <v>266.3693689487304</v>
      </c>
      <c r="AW57" s="194">
        <f t="shared" si="152"/>
        <v>267.923190267598</v>
      </c>
      <c r="AX57" s="194">
        <f t="shared" si="152"/>
        <v>269.486075544159</v>
      </c>
      <c r="AY57" s="194">
        <f t="shared" si="152"/>
        <v>271.0580776514999</v>
      </c>
      <c r="AZ57" s="194">
        <f t="shared" si="152"/>
        <v>272.6392497711337</v>
      </c>
      <c r="BA57" s="194">
        <f t="shared" si="152"/>
        <v>274.2296453947986</v>
      </c>
      <c r="BB57" s="195">
        <f>SUM(AP57:BA57)</f>
        <v>3187.7925700964697</v>
      </c>
      <c r="BC57" s="194">
        <f aca="true" t="shared" si="153" ref="BC57:BN57">$B61-BC56</f>
        <v>275.82931832626826</v>
      </c>
      <c r="BD57" s="194">
        <f t="shared" si="153"/>
        <v>277.43832268317146</v>
      </c>
      <c r="BE57" s="194">
        <f t="shared" si="153"/>
        <v>279.0567128988233</v>
      </c>
      <c r="BF57" s="194">
        <f t="shared" si="153"/>
        <v>280.6845437240665</v>
      </c>
      <c r="BG57" s="194">
        <f t="shared" si="153"/>
        <v>282.32187022912353</v>
      </c>
      <c r="BH57" s="194">
        <f t="shared" si="153"/>
        <v>283.96874780546005</v>
      </c>
      <c r="BI57" s="194">
        <f t="shared" si="153"/>
        <v>285.6252321676586</v>
      </c>
      <c r="BJ57" s="194">
        <f t="shared" si="153"/>
        <v>287.29137935530326</v>
      </c>
      <c r="BK57" s="194">
        <f t="shared" si="153"/>
        <v>288.96724573487586</v>
      </c>
      <c r="BL57" s="194">
        <f t="shared" si="153"/>
        <v>290.65288800166263</v>
      </c>
      <c r="BM57" s="194">
        <f t="shared" si="153"/>
        <v>292.3483631816723</v>
      </c>
      <c r="BN57" s="194">
        <f t="shared" si="153"/>
        <v>294.0537286335654</v>
      </c>
      <c r="BO57" s="195">
        <f>SUM(BC57:BN57)</f>
        <v>3418.238352741651</v>
      </c>
      <c r="BP57" s="194">
        <f aca="true" t="shared" si="154" ref="BP57:CA57">$B61-BP56</f>
        <v>295.7690420505946</v>
      </c>
      <c r="BQ57" s="194">
        <f t="shared" si="154"/>
        <v>297.49436146255636</v>
      </c>
      <c r="BR57" s="194">
        <f t="shared" si="154"/>
        <v>299.2297452377546</v>
      </c>
      <c r="BS57" s="194">
        <f t="shared" si="154"/>
        <v>300.97525208497484</v>
      </c>
      <c r="BT57" s="194">
        <f t="shared" si="154"/>
        <v>302.73094105547057</v>
      </c>
      <c r="BU57" s="194">
        <f t="shared" si="154"/>
        <v>304.49687154496075</v>
      </c>
      <c r="BV57" s="194">
        <f t="shared" si="154"/>
        <v>306.2731032956397</v>
      </c>
      <c r="BW57" s="194">
        <f t="shared" si="154"/>
        <v>308.0596963981976</v>
      </c>
      <c r="BX57" s="194">
        <f t="shared" si="154"/>
        <v>309.8567112938538</v>
      </c>
      <c r="BY57" s="194">
        <f t="shared" si="154"/>
        <v>311.66420877640127</v>
      </c>
      <c r="BZ57" s="194">
        <f t="shared" si="154"/>
        <v>313.4822499942636</v>
      </c>
      <c r="CA57" s="194">
        <f t="shared" si="154"/>
        <v>315.3108964525635</v>
      </c>
      <c r="CB57" s="195">
        <f>SUM(BP57:CA57)</f>
        <v>3665.343079647231</v>
      </c>
      <c r="CC57" s="194">
        <f aca="true" t="shared" si="155" ref="CC57:CN57">$B61-CC56</f>
        <v>317.1502100152034</v>
      </c>
      <c r="CD57" s="194">
        <f t="shared" si="155"/>
        <v>319.0002529069588</v>
      </c>
      <c r="CE57" s="194">
        <f t="shared" si="155"/>
        <v>320.8610877155827</v>
      </c>
      <c r="CF57" s="194">
        <f t="shared" si="155"/>
        <v>322.7327773939236</v>
      </c>
      <c r="CG57" s="194">
        <f t="shared" si="155"/>
        <v>324.6153852620548</v>
      </c>
      <c r="CH57" s="194">
        <f t="shared" si="155"/>
        <v>326.5089750094168</v>
      </c>
      <c r="CI57" s="194">
        <f t="shared" si="155"/>
        <v>328.4136106969717</v>
      </c>
      <c r="CJ57" s="194">
        <f t="shared" si="155"/>
        <v>330.32935675937074</v>
      </c>
      <c r="CK57" s="194">
        <f t="shared" si="155"/>
        <v>332.25627800713374</v>
      </c>
      <c r="CL57" s="194">
        <f t="shared" si="155"/>
        <v>334.194439628842</v>
      </c>
      <c r="CM57" s="194">
        <f t="shared" si="155"/>
        <v>336.1439071933436</v>
      </c>
      <c r="CN57" s="194">
        <f t="shared" si="155"/>
        <v>338.1047466519714</v>
      </c>
      <c r="CO57" s="195">
        <f>SUM(CC57:CN57)</f>
        <v>3930.311027240773</v>
      </c>
      <c r="CP57" s="194">
        <f aca="true" t="shared" si="156" ref="CP57:CX57">$B61-CP56</f>
        <v>340.0770243407746</v>
      </c>
      <c r="CQ57" s="194">
        <f t="shared" si="156"/>
        <v>342.0608069827625</v>
      </c>
      <c r="CR57" s="194">
        <f t="shared" si="156"/>
        <v>344.0561616901619</v>
      </c>
      <c r="CS57" s="194">
        <f t="shared" si="156"/>
        <v>346.0631559666879</v>
      </c>
      <c r="CT57" s="194">
        <f t="shared" si="156"/>
        <v>348.08185770982686</v>
      </c>
      <c r="CU57" s="194">
        <f t="shared" si="156"/>
        <v>350.1123352131342</v>
      </c>
      <c r="CV57" s="194">
        <f t="shared" si="156"/>
        <v>352.15465716854413</v>
      </c>
      <c r="CW57" s="194">
        <f t="shared" si="156"/>
        <v>354.208892668694</v>
      </c>
      <c r="CX57" s="194">
        <f t="shared" si="156"/>
        <v>356.27511120926135</v>
      </c>
      <c r="CY57" s="194"/>
      <c r="CZ57" s="194"/>
      <c r="DA57" s="194"/>
      <c r="DB57" s="195">
        <f>SUM(CP57:DA57)</f>
        <v>3133.090002949847</v>
      </c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5">
        <f>SUM(DC57:DN57)</f>
        <v>0</v>
      </c>
    </row>
    <row r="58" spans="1:119" ht="12.75">
      <c r="A58" s="188" t="s">
        <v>15</v>
      </c>
      <c r="B58" s="193">
        <f>O58+AB58+AO58+BB58+BO58+CB58+CO58+DB58+DO58</f>
        <v>5158.42932684879</v>
      </c>
      <c r="C58" s="194"/>
      <c r="D58" s="194"/>
      <c r="E58" s="194"/>
      <c r="F58" s="194"/>
      <c r="G58" s="194"/>
      <c r="H58" s="194"/>
      <c r="I58" s="194"/>
      <c r="J58" s="194"/>
      <c r="K58" s="194"/>
      <c r="L58" s="199"/>
      <c r="M58" s="199"/>
      <c r="N58" s="199"/>
      <c r="O58" s="195">
        <f>SUM(C58:N58)</f>
        <v>0</v>
      </c>
      <c r="P58" s="199"/>
      <c r="Q58" s="199"/>
      <c r="R58" s="199"/>
      <c r="S58" s="199"/>
      <c r="T58" s="199"/>
      <c r="U58" s="199"/>
      <c r="V58" s="194">
        <f aca="true" t="shared" si="157" ref="V58:AA58">V56</f>
        <v>126.6887671875</v>
      </c>
      <c r="W58" s="194">
        <f t="shared" si="157"/>
        <v>125.33739026372776</v>
      </c>
      <c r="X58" s="194">
        <f t="shared" si="157"/>
        <v>123.97813030790017</v>
      </c>
      <c r="Y58" s="194">
        <f t="shared" si="157"/>
        <v>122.61094133566358</v>
      </c>
      <c r="Z58" s="194">
        <f t="shared" si="157"/>
        <v>121.23577709442229</v>
      </c>
      <c r="AA58" s="194">
        <f t="shared" si="157"/>
        <v>119.85259106177374</v>
      </c>
      <c r="AB58" s="195">
        <f>SUM(P58:AA58)</f>
        <v>739.7035972509875</v>
      </c>
      <c r="AC58" s="194">
        <f aca="true" t="shared" si="158" ref="AC58:AK58">AC56</f>
        <v>118.46133644393473</v>
      </c>
      <c r="AD58" s="194">
        <f t="shared" si="158"/>
        <v>117.06196617415834</v>
      </c>
      <c r="AE58" s="194">
        <f t="shared" si="158"/>
        <v>115.65443291114161</v>
      </c>
      <c r="AF58" s="194">
        <f t="shared" si="158"/>
        <v>114.23868903742392</v>
      </c>
      <c r="AG58" s="194">
        <f t="shared" si="158"/>
        <v>112.81468665777622</v>
      </c>
      <c r="AH58" s="194">
        <f t="shared" si="158"/>
        <v>111.38237759758057</v>
      </c>
      <c r="AI58" s="194">
        <f t="shared" si="158"/>
        <v>109.94171340120045</v>
      </c>
      <c r="AJ58" s="194">
        <f t="shared" si="158"/>
        <v>108.49264533034143</v>
      </c>
      <c r="AK58" s="194">
        <f t="shared" si="158"/>
        <v>107.03512436240243</v>
      </c>
      <c r="AL58" s="194">
        <f>AL56</f>
        <v>105.56910118881711</v>
      </c>
      <c r="AM58" s="194">
        <f>AM56</f>
        <v>104.09452621338586</v>
      </c>
      <c r="AN58" s="194">
        <f>AN56</f>
        <v>102.61134955059794</v>
      </c>
      <c r="AO58" s="195">
        <f>SUM(AC58:AN58)</f>
        <v>1327.3579488687606</v>
      </c>
      <c r="AP58" s="194">
        <f aca="true" t="shared" si="159" ref="AP58:BA58">AP56</f>
        <v>101.11952102394373</v>
      </c>
      <c r="AQ58" s="194">
        <f t="shared" si="159"/>
        <v>99.6189901642174</v>
      </c>
      <c r="AR58" s="194">
        <f t="shared" si="159"/>
        <v>98.10970620780932</v>
      </c>
      <c r="AS58" s="194">
        <f t="shared" si="159"/>
        <v>96.59161809498886</v>
      </c>
      <c r="AT58" s="194">
        <f t="shared" si="159"/>
        <v>95.06467446817696</v>
      </c>
      <c r="AU58" s="194">
        <f t="shared" si="159"/>
        <v>93.52882367020864</v>
      </c>
      <c r="AV58" s="194">
        <f t="shared" si="159"/>
        <v>91.9840137425855</v>
      </c>
      <c r="AW58" s="194">
        <f t="shared" si="159"/>
        <v>90.43019242371793</v>
      </c>
      <c r="AX58" s="194">
        <f t="shared" si="159"/>
        <v>88.86730714715692</v>
      </c>
      <c r="AY58" s="194">
        <f t="shared" si="159"/>
        <v>87.29530503981601</v>
      </c>
      <c r="AZ58" s="194">
        <f t="shared" si="159"/>
        <v>85.71413292018225</v>
      </c>
      <c r="BA58" s="194">
        <f t="shared" si="159"/>
        <v>84.12373729651732</v>
      </c>
      <c r="BB58" s="195">
        <f>SUM(AP58:BA58)</f>
        <v>1112.4480221993208</v>
      </c>
      <c r="BC58" s="194">
        <f aca="true" t="shared" si="160" ref="BC58:BN58">BC56</f>
        <v>82.52406436504766</v>
      </c>
      <c r="BD58" s="194">
        <f t="shared" si="160"/>
        <v>80.91506000814442</v>
      </c>
      <c r="BE58" s="194">
        <f t="shared" si="160"/>
        <v>79.29666979249258</v>
      </c>
      <c r="BF58" s="194">
        <f t="shared" si="160"/>
        <v>77.66883896724944</v>
      </c>
      <c r="BG58" s="194">
        <f t="shared" si="160"/>
        <v>76.0315124621924</v>
      </c>
      <c r="BH58" s="194">
        <f t="shared" si="160"/>
        <v>74.38463488585585</v>
      </c>
      <c r="BI58" s="194">
        <f t="shared" si="160"/>
        <v>72.72815052365732</v>
      </c>
      <c r="BJ58" s="194">
        <f t="shared" si="160"/>
        <v>71.06200333601265</v>
      </c>
      <c r="BK58" s="194">
        <f t="shared" si="160"/>
        <v>69.38613695644004</v>
      </c>
      <c r="BL58" s="194">
        <f t="shared" si="160"/>
        <v>67.70049468965327</v>
      </c>
      <c r="BM58" s="194">
        <f t="shared" si="160"/>
        <v>66.00501950964357</v>
      </c>
      <c r="BN58" s="194">
        <f t="shared" si="160"/>
        <v>64.29965405775049</v>
      </c>
      <c r="BO58" s="195">
        <f>SUM(BC58:BN58)</f>
        <v>882.0022395541398</v>
      </c>
      <c r="BP58" s="194">
        <f aca="true" t="shared" si="161" ref="BP58:CA58">BP56</f>
        <v>62.584340640721344</v>
      </c>
      <c r="BQ58" s="194">
        <f t="shared" si="161"/>
        <v>60.85902122875954</v>
      </c>
      <c r="BR58" s="194">
        <f t="shared" si="161"/>
        <v>59.12363745356129</v>
      </c>
      <c r="BS58" s="194">
        <f t="shared" si="161"/>
        <v>57.37813060634105</v>
      </c>
      <c r="BT58" s="194">
        <f t="shared" si="161"/>
        <v>55.62244163584537</v>
      </c>
      <c r="BU58" s="194">
        <f t="shared" si="161"/>
        <v>53.85651114635513</v>
      </c>
      <c r="BV58" s="194">
        <f t="shared" si="161"/>
        <v>52.08027939567619</v>
      </c>
      <c r="BW58" s="194">
        <f t="shared" si="161"/>
        <v>50.29368629311829</v>
      </c>
      <c r="BX58" s="194">
        <f t="shared" si="161"/>
        <v>48.49667139746214</v>
      </c>
      <c r="BY58" s="194">
        <f t="shared" si="161"/>
        <v>46.689173914914655</v>
      </c>
      <c r="BZ58" s="194">
        <f t="shared" si="161"/>
        <v>44.87113269705231</v>
      </c>
      <c r="CA58" s="194">
        <f t="shared" si="161"/>
        <v>43.042486238752446</v>
      </c>
      <c r="CB58" s="195">
        <f>SUM(BP58:CA58)</f>
        <v>634.8975126485598</v>
      </c>
      <c r="CC58" s="194">
        <f aca="true" t="shared" si="162" ref="CC58:CN58">CC56</f>
        <v>41.203172676112494</v>
      </c>
      <c r="CD58" s="194">
        <f t="shared" si="162"/>
        <v>39.35312978435714</v>
      </c>
      <c r="CE58" s="194">
        <f t="shared" si="162"/>
        <v>37.49229497573321</v>
      </c>
      <c r="CF58" s="194">
        <f t="shared" si="162"/>
        <v>35.62060529739231</v>
      </c>
      <c r="CG58" s="194">
        <f t="shared" si="162"/>
        <v>33.73799742926109</v>
      </c>
      <c r="CH58" s="194">
        <f t="shared" si="162"/>
        <v>31.844407681899103</v>
      </c>
      <c r="CI58" s="194">
        <f t="shared" si="162"/>
        <v>29.939771994344174</v>
      </c>
      <c r="CJ58" s="194">
        <f t="shared" si="162"/>
        <v>28.02402593194517</v>
      </c>
      <c r="CK58" s="194">
        <f t="shared" si="162"/>
        <v>26.097104684182174</v>
      </c>
      <c r="CL58" s="194">
        <f t="shared" si="162"/>
        <v>24.158943062473895</v>
      </c>
      <c r="CM58" s="194">
        <f t="shared" si="162"/>
        <v>22.209475497972317</v>
      </c>
      <c r="CN58" s="194">
        <f t="shared" si="162"/>
        <v>20.24863603934448</v>
      </c>
      <c r="CO58" s="195">
        <f>SUM(CC58:CN58)</f>
        <v>369.9295650550176</v>
      </c>
      <c r="CP58" s="194">
        <f aca="true" t="shared" si="163" ref="CP58:DA58">CP56</f>
        <v>18.27635835054131</v>
      </c>
      <c r="CQ58" s="194">
        <f t="shared" si="163"/>
        <v>16.29257570855346</v>
      </c>
      <c r="CR58" s="194">
        <f t="shared" si="163"/>
        <v>14.297221001154012</v>
      </c>
      <c r="CS58" s="194">
        <f t="shared" si="163"/>
        <v>12.290226724628068</v>
      </c>
      <c r="CT58" s="194">
        <f t="shared" si="163"/>
        <v>10.271524981489053</v>
      </c>
      <c r="CU58" s="194">
        <f t="shared" si="163"/>
        <v>8.24104747818173</v>
      </c>
      <c r="CV58" s="194">
        <f t="shared" si="163"/>
        <v>6.198725522771781</v>
      </c>
      <c r="CW58" s="194">
        <f t="shared" si="163"/>
        <v>4.144490022621939</v>
      </c>
      <c r="CX58" s="194">
        <f t="shared" si="163"/>
        <v>2.0782714820545576</v>
      </c>
      <c r="CY58" s="194">
        <f t="shared" si="163"/>
        <v>5.328596823043578E-13</v>
      </c>
      <c r="CZ58" s="194">
        <f t="shared" si="163"/>
        <v>5.328596823043578E-13</v>
      </c>
      <c r="DA58" s="194">
        <f t="shared" si="163"/>
        <v>5.328596823043578E-13</v>
      </c>
      <c r="DB58" s="195">
        <f>SUM(CP58:DA58)</f>
        <v>92.09044127199749</v>
      </c>
      <c r="DC58" s="194">
        <f aca="true" t="shared" si="164" ref="DC58:DN58">DC56</f>
        <v>5.328596823043578E-13</v>
      </c>
      <c r="DD58" s="194">
        <f t="shared" si="164"/>
        <v>5.328596823043578E-13</v>
      </c>
      <c r="DE58" s="194">
        <f t="shared" si="164"/>
        <v>5.328596823043578E-13</v>
      </c>
      <c r="DF58" s="194">
        <f t="shared" si="164"/>
        <v>5.328596823043578E-13</v>
      </c>
      <c r="DG58" s="194">
        <f t="shared" si="164"/>
        <v>5.328596823043578E-13</v>
      </c>
      <c r="DH58" s="194">
        <f t="shared" si="164"/>
        <v>5.328596823043578E-13</v>
      </c>
      <c r="DI58" s="194">
        <f t="shared" si="164"/>
        <v>5.328596823043578E-13</v>
      </c>
      <c r="DJ58" s="194">
        <f t="shared" si="164"/>
        <v>5.328596823043578E-13</v>
      </c>
      <c r="DK58" s="194">
        <f t="shared" si="164"/>
        <v>5.328596823043578E-13</v>
      </c>
      <c r="DL58" s="194">
        <f t="shared" si="164"/>
        <v>5.328596823043578E-13</v>
      </c>
      <c r="DM58" s="194">
        <f t="shared" si="164"/>
        <v>5.328596823043578E-13</v>
      </c>
      <c r="DN58" s="194">
        <f t="shared" si="164"/>
        <v>5.328596823043578E-13</v>
      </c>
      <c r="DO58" s="195">
        <f>SUM(DC58:DN58)</f>
        <v>6.394316187652294E-12</v>
      </c>
    </row>
    <row r="59" spans="1:119" ht="12.75">
      <c r="A59" s="188" t="s">
        <v>16</v>
      </c>
      <c r="B59" s="193">
        <f>DO59</f>
        <v>9.134737410931848E-11</v>
      </c>
      <c r="C59" s="194">
        <f>C54</f>
        <v>0</v>
      </c>
      <c r="D59" s="194">
        <f aca="true" t="shared" si="165" ref="D59:N59">C59+D54-D57+D55</f>
        <v>0</v>
      </c>
      <c r="E59" s="194">
        <f t="shared" si="165"/>
        <v>0</v>
      </c>
      <c r="F59" s="194">
        <f t="shared" si="165"/>
        <v>0</v>
      </c>
      <c r="G59" s="194">
        <f t="shared" si="165"/>
        <v>0</v>
      </c>
      <c r="H59" s="194">
        <f t="shared" si="165"/>
        <v>0</v>
      </c>
      <c r="I59" s="194">
        <f t="shared" si="165"/>
        <v>0</v>
      </c>
      <c r="J59" s="194">
        <f t="shared" si="165"/>
        <v>0</v>
      </c>
      <c r="K59" s="194">
        <f t="shared" si="165"/>
        <v>20634.75</v>
      </c>
      <c r="L59" s="194">
        <f t="shared" si="165"/>
        <v>20634.75</v>
      </c>
      <c r="M59" s="194">
        <f t="shared" si="165"/>
        <v>20634.75</v>
      </c>
      <c r="N59" s="194">
        <f t="shared" si="165"/>
        <v>20634.75</v>
      </c>
      <c r="O59" s="195">
        <f>N59</f>
        <v>20634.75</v>
      </c>
      <c r="P59" s="194">
        <f aca="true" t="shared" si="166" ref="P59:AA59">O59+P54-P57+P55</f>
        <v>20634.75</v>
      </c>
      <c r="Q59" s="194">
        <f t="shared" si="166"/>
        <v>20634.75</v>
      </c>
      <c r="R59" s="194">
        <f t="shared" si="166"/>
        <v>20634.75</v>
      </c>
      <c r="S59" s="194">
        <f t="shared" si="166"/>
        <v>20634.75</v>
      </c>
      <c r="T59" s="194">
        <f t="shared" si="166"/>
        <v>20634.75</v>
      </c>
      <c r="U59" s="194">
        <f t="shared" si="166"/>
        <v>21718.074375</v>
      </c>
      <c r="V59" s="194">
        <f t="shared" si="166"/>
        <v>21486.409759496186</v>
      </c>
      <c r="W59" s="194">
        <f t="shared" si="166"/>
        <v>21253.3937670686</v>
      </c>
      <c r="X59" s="194">
        <f t="shared" si="166"/>
        <v>21019.018514685184</v>
      </c>
      <c r="Y59" s="194">
        <f t="shared" si="166"/>
        <v>20783.276073329533</v>
      </c>
      <c r="Z59" s="194">
        <f t="shared" si="166"/>
        <v>20546.15846773264</v>
      </c>
      <c r="AA59" s="194">
        <f t="shared" si="166"/>
        <v>20307.657676103096</v>
      </c>
      <c r="AB59" s="195">
        <f>AA59</f>
        <v>20307.657676103096</v>
      </c>
      <c r="AC59" s="194">
        <f aca="true" t="shared" si="167" ref="AC59:AN59">AB59+AC54-AC57+AC55</f>
        <v>20067.765629855716</v>
      </c>
      <c r="AD59" s="194">
        <f t="shared" si="167"/>
        <v>19826.47421333856</v>
      </c>
      <c r="AE59" s="194">
        <f t="shared" si="167"/>
        <v>19583.775263558386</v>
      </c>
      <c r="AF59" s="194">
        <f t="shared" si="167"/>
        <v>19339.660569904492</v>
      </c>
      <c r="AG59" s="194">
        <f t="shared" si="167"/>
        <v>19094.121873870954</v>
      </c>
      <c r="AH59" s="194">
        <f t="shared" si="167"/>
        <v>18847.15086877722</v>
      </c>
      <c r="AI59" s="194">
        <f t="shared" si="167"/>
        <v>18598.739199487103</v>
      </c>
      <c r="AJ59" s="194">
        <f t="shared" si="167"/>
        <v>18348.87846212613</v>
      </c>
      <c r="AK59" s="194">
        <f t="shared" si="167"/>
        <v>18097.560203797217</v>
      </c>
      <c r="AL59" s="194">
        <f t="shared" si="167"/>
        <v>17844.775922294717</v>
      </c>
      <c r="AM59" s="194">
        <f t="shared" si="167"/>
        <v>17590.517065816788</v>
      </c>
      <c r="AN59" s="194">
        <f t="shared" si="167"/>
        <v>17334.77503267607</v>
      </c>
      <c r="AO59" s="195">
        <f>AN59</f>
        <v>17334.77503267607</v>
      </c>
      <c r="AP59" s="194">
        <f aca="true" t="shared" si="168" ref="AP59:BA59">AO59+AP54-AP57+AP55</f>
        <v>17077.541171008696</v>
      </c>
      <c r="AQ59" s="194">
        <f t="shared" si="168"/>
        <v>16818.806778481598</v>
      </c>
      <c r="AR59" s="194">
        <f t="shared" si="168"/>
        <v>16558.56310199809</v>
      </c>
      <c r="AS59" s="194">
        <f t="shared" si="168"/>
        <v>16296.801337401763</v>
      </c>
      <c r="AT59" s="194">
        <f t="shared" si="168"/>
        <v>16033.512629178624</v>
      </c>
      <c r="AU59" s="194">
        <f t="shared" si="168"/>
        <v>15768.688070157516</v>
      </c>
      <c r="AV59" s="194">
        <f t="shared" si="168"/>
        <v>15502.318701208786</v>
      </c>
      <c r="AW59" s="194">
        <f t="shared" si="168"/>
        <v>15234.395510941187</v>
      </c>
      <c r="AX59" s="194">
        <f t="shared" si="168"/>
        <v>14964.909435397029</v>
      </c>
      <c r="AY59" s="194">
        <f t="shared" si="168"/>
        <v>14693.851357745529</v>
      </c>
      <c r="AZ59" s="194">
        <f t="shared" si="168"/>
        <v>14421.212107974396</v>
      </c>
      <c r="BA59" s="194">
        <f t="shared" si="168"/>
        <v>14146.982462579597</v>
      </c>
      <c r="BB59" s="195">
        <f>BA59</f>
        <v>14146.982462579597</v>
      </c>
      <c r="BC59" s="194">
        <f aca="true" t="shared" si="169" ref="BC59:BN59">BB59+BC54-BC57+BC55</f>
        <v>13871.153144253329</v>
      </c>
      <c r="BD59" s="194">
        <f t="shared" si="169"/>
        <v>13593.714821570156</v>
      </c>
      <c r="BE59" s="194">
        <f t="shared" si="169"/>
        <v>13314.658108671332</v>
      </c>
      <c r="BF59" s="194">
        <f t="shared" si="169"/>
        <v>13033.973564947266</v>
      </c>
      <c r="BG59" s="194">
        <f t="shared" si="169"/>
        <v>12751.651694718143</v>
      </c>
      <c r="BH59" s="194">
        <f t="shared" si="169"/>
        <v>12467.682946912682</v>
      </c>
      <c r="BI59" s="194">
        <f t="shared" si="169"/>
        <v>12182.057714745024</v>
      </c>
      <c r="BJ59" s="194">
        <f t="shared" si="169"/>
        <v>11894.76633538972</v>
      </c>
      <c r="BK59" s="194">
        <f t="shared" si="169"/>
        <v>11605.799089654845</v>
      </c>
      <c r="BL59" s="194">
        <f t="shared" si="169"/>
        <v>11315.146201653182</v>
      </c>
      <c r="BM59" s="194">
        <f t="shared" si="169"/>
        <v>11022.79783847151</v>
      </c>
      <c r="BN59" s="194">
        <f t="shared" si="169"/>
        <v>10728.744109837944</v>
      </c>
      <c r="BO59" s="195">
        <f>BN59</f>
        <v>10728.744109837944</v>
      </c>
      <c r="BP59" s="194">
        <f aca="true" t="shared" si="170" ref="BP59:CA59">BO59+BP54-BP57+BP55</f>
        <v>10432.975067787349</v>
      </c>
      <c r="BQ59" s="194">
        <f t="shared" si="170"/>
        <v>10135.480706324792</v>
      </c>
      <c r="BR59" s="194">
        <f t="shared" si="170"/>
        <v>9836.250961087037</v>
      </c>
      <c r="BS59" s="194">
        <f t="shared" si="170"/>
        <v>9535.275709002062</v>
      </c>
      <c r="BT59" s="194">
        <f t="shared" si="170"/>
        <v>9232.544767946592</v>
      </c>
      <c r="BU59" s="194">
        <f t="shared" si="170"/>
        <v>8928.047896401631</v>
      </c>
      <c r="BV59" s="194">
        <f t="shared" si="170"/>
        <v>8621.774793105991</v>
      </c>
      <c r="BW59" s="194">
        <f t="shared" si="170"/>
        <v>8313.715096707794</v>
      </c>
      <c r="BX59" s="194">
        <f t="shared" si="170"/>
        <v>8003.858385413941</v>
      </c>
      <c r="BY59" s="194">
        <f t="shared" si="170"/>
        <v>7692.194176637539</v>
      </c>
      <c r="BZ59" s="194">
        <f t="shared" si="170"/>
        <v>7378.711926643276</v>
      </c>
      <c r="CA59" s="194">
        <f t="shared" si="170"/>
        <v>7063.401030190712</v>
      </c>
      <c r="CB59" s="195">
        <f>CA59</f>
        <v>7063.401030190712</v>
      </c>
      <c r="CC59" s="194">
        <f aca="true" t="shared" si="171" ref="CC59:CN59">CB59+CC54-CC57+CC55</f>
        <v>6746.250820175508</v>
      </c>
      <c r="CD59" s="194">
        <f t="shared" si="171"/>
        <v>6427.250567268549</v>
      </c>
      <c r="CE59" s="194">
        <f t="shared" si="171"/>
        <v>6106.389479552967</v>
      </c>
      <c r="CF59" s="194">
        <f t="shared" si="171"/>
        <v>5783.656702159044</v>
      </c>
      <c r="CG59" s="194">
        <f t="shared" si="171"/>
        <v>5459.041316896989</v>
      </c>
      <c r="CH59" s="194">
        <f t="shared" si="171"/>
        <v>5132.532341887572</v>
      </c>
      <c r="CI59" s="194">
        <f t="shared" si="171"/>
        <v>4804.118731190601</v>
      </c>
      <c r="CJ59" s="194">
        <f t="shared" si="171"/>
        <v>4473.78937443123</v>
      </c>
      <c r="CK59" s="194">
        <f t="shared" si="171"/>
        <v>4141.533096424096</v>
      </c>
      <c r="CL59" s="194">
        <f t="shared" si="171"/>
        <v>3807.338656795254</v>
      </c>
      <c r="CM59" s="194">
        <f t="shared" si="171"/>
        <v>3471.19474960191</v>
      </c>
      <c r="CN59" s="194">
        <f t="shared" si="171"/>
        <v>3133.090002949939</v>
      </c>
      <c r="CO59" s="195">
        <f>CN59</f>
        <v>3133.090002949939</v>
      </c>
      <c r="CP59" s="194">
        <f aca="true" t="shared" si="172" ref="CP59:DA59">CO59+CP54-CP57+CP55</f>
        <v>2793.0129786091643</v>
      </c>
      <c r="CQ59" s="194">
        <f t="shared" si="172"/>
        <v>2450.9521716264017</v>
      </c>
      <c r="CR59" s="194">
        <f t="shared" si="172"/>
        <v>2106.89600993624</v>
      </c>
      <c r="CS59" s="194">
        <f t="shared" si="172"/>
        <v>1760.832853969552</v>
      </c>
      <c r="CT59" s="194">
        <f t="shared" si="172"/>
        <v>1412.750996259725</v>
      </c>
      <c r="CU59" s="194">
        <f t="shared" si="172"/>
        <v>1062.6386610465909</v>
      </c>
      <c r="CV59" s="194">
        <f t="shared" si="172"/>
        <v>710.4840038780467</v>
      </c>
      <c r="CW59" s="194">
        <f t="shared" si="172"/>
        <v>356.2751112093527</v>
      </c>
      <c r="CX59" s="194">
        <f t="shared" si="172"/>
        <v>9.134737410931848E-11</v>
      </c>
      <c r="CY59" s="194">
        <f t="shared" si="172"/>
        <v>9.134737410931848E-11</v>
      </c>
      <c r="CZ59" s="194">
        <f t="shared" si="172"/>
        <v>9.134737410931848E-11</v>
      </c>
      <c r="DA59" s="194">
        <f t="shared" si="172"/>
        <v>9.134737410931848E-11</v>
      </c>
      <c r="DB59" s="195">
        <f>DA59</f>
        <v>9.134737410931848E-11</v>
      </c>
      <c r="DC59" s="194">
        <f aca="true" t="shared" si="173" ref="DC59:DN59">DB59+DC54-DC57+DC55</f>
        <v>9.134737410931848E-11</v>
      </c>
      <c r="DD59" s="194">
        <f t="shared" si="173"/>
        <v>9.134737410931848E-11</v>
      </c>
      <c r="DE59" s="194">
        <f t="shared" si="173"/>
        <v>9.134737410931848E-11</v>
      </c>
      <c r="DF59" s="194">
        <f t="shared" si="173"/>
        <v>9.134737410931848E-11</v>
      </c>
      <c r="DG59" s="194">
        <f t="shared" si="173"/>
        <v>9.134737410931848E-11</v>
      </c>
      <c r="DH59" s="194">
        <f t="shared" si="173"/>
        <v>9.134737410931848E-11</v>
      </c>
      <c r="DI59" s="194">
        <f t="shared" si="173"/>
        <v>9.134737410931848E-11</v>
      </c>
      <c r="DJ59" s="194">
        <f t="shared" si="173"/>
        <v>9.134737410931848E-11</v>
      </c>
      <c r="DK59" s="194">
        <f t="shared" si="173"/>
        <v>9.134737410931848E-11</v>
      </c>
      <c r="DL59" s="194">
        <f t="shared" si="173"/>
        <v>9.134737410931848E-11</v>
      </c>
      <c r="DM59" s="194">
        <f t="shared" si="173"/>
        <v>9.134737410931848E-11</v>
      </c>
      <c r="DN59" s="194">
        <f t="shared" si="173"/>
        <v>9.134737410931848E-11</v>
      </c>
      <c r="DO59" s="195">
        <f>DN59</f>
        <v>9.134737410931848E-11</v>
      </c>
    </row>
    <row r="60" spans="1:119" ht="12.75">
      <c r="A60" s="177" t="s">
        <v>78</v>
      </c>
      <c r="B60" s="285">
        <f>Исх!$C$49*12-Исх!$C$50</f>
        <v>75</v>
      </c>
      <c r="CP60" s="180"/>
      <c r="DB60" s="177"/>
      <c r="DO60" s="177"/>
    </row>
    <row r="61" spans="1:119" ht="12.75">
      <c r="A61" s="288" t="s">
        <v>258</v>
      </c>
      <c r="B61" s="289">
        <f>$U$59*$B$20/12/((1-(1+$B$20/12)^-$B60))</f>
        <v>358.3533826913159</v>
      </c>
      <c r="DB61" s="177"/>
      <c r="DO61" s="177"/>
    </row>
    <row r="62" spans="1:119" ht="6" customHeight="1">
      <c r="A62" s="286"/>
      <c r="B62" s="283"/>
      <c r="DB62" s="177"/>
      <c r="DO62" s="177"/>
    </row>
    <row r="63" spans="1:119" ht="12.75">
      <c r="A63" s="271" t="s">
        <v>244</v>
      </c>
      <c r="DB63" s="177"/>
      <c r="DO63" s="177"/>
    </row>
    <row r="64" spans="1:119" ht="12.75" hidden="1" outlineLevel="1">
      <c r="A64" s="272">
        <f>B54+B55-B57</f>
        <v>9.094947017729282E-11</v>
      </c>
      <c r="DB64" s="177"/>
      <c r="DO64" s="177"/>
    </row>
    <row r="65" spans="1:119" ht="12.75" hidden="1" outlineLevel="1">
      <c r="A65" s="272">
        <f>B56-B55-B58</f>
        <v>0</v>
      </c>
      <c r="DB65" s="177"/>
      <c r="DO65" s="177"/>
    </row>
    <row r="66" ht="12.75" collapsed="1"/>
    <row r="67" spans="1:119" ht="12.75">
      <c r="A67" s="297" t="s">
        <v>283</v>
      </c>
      <c r="B67" s="298"/>
      <c r="DB67" s="177"/>
      <c r="DO67" s="177"/>
    </row>
    <row r="68" spans="1:119" ht="15.75" customHeight="1">
      <c r="A68" s="186" t="s">
        <v>11</v>
      </c>
      <c r="B68" s="287">
        <f>Исх!$C$48</f>
        <v>0.07</v>
      </c>
      <c r="C68" s="363">
        <v>2013</v>
      </c>
      <c r="D68" s="363"/>
      <c r="E68" s="363"/>
      <c r="F68" s="363"/>
      <c r="G68" s="363"/>
      <c r="H68" s="363"/>
      <c r="I68" s="363"/>
      <c r="J68" s="363"/>
      <c r="K68" s="363"/>
      <c r="L68" s="363"/>
      <c r="M68" s="363"/>
      <c r="N68" s="363"/>
      <c r="O68" s="363"/>
      <c r="P68" s="363">
        <v>2014</v>
      </c>
      <c r="Q68" s="363"/>
      <c r="R68" s="363"/>
      <c r="S68" s="363"/>
      <c r="T68" s="363"/>
      <c r="U68" s="363"/>
      <c r="V68" s="363"/>
      <c r="W68" s="363"/>
      <c r="X68" s="363"/>
      <c r="Y68" s="363"/>
      <c r="Z68" s="363"/>
      <c r="AA68" s="363"/>
      <c r="AB68" s="363"/>
      <c r="AC68" s="363">
        <v>2015</v>
      </c>
      <c r="AD68" s="363"/>
      <c r="AE68" s="363"/>
      <c r="AF68" s="363"/>
      <c r="AG68" s="363"/>
      <c r="AH68" s="363"/>
      <c r="AI68" s="363"/>
      <c r="AJ68" s="363"/>
      <c r="AK68" s="363"/>
      <c r="AL68" s="363"/>
      <c r="AM68" s="363"/>
      <c r="AN68" s="363"/>
      <c r="AO68" s="363"/>
      <c r="AP68" s="363">
        <v>2016</v>
      </c>
      <c r="AQ68" s="363"/>
      <c r="AR68" s="363"/>
      <c r="AS68" s="363"/>
      <c r="AT68" s="363"/>
      <c r="AU68" s="363"/>
      <c r="AV68" s="363"/>
      <c r="AW68" s="363"/>
      <c r="AX68" s="363"/>
      <c r="AY68" s="363"/>
      <c r="AZ68" s="363"/>
      <c r="BA68" s="363"/>
      <c r="BB68" s="363"/>
      <c r="BC68" s="363">
        <v>2017</v>
      </c>
      <c r="BD68" s="363"/>
      <c r="BE68" s="363"/>
      <c r="BF68" s="363"/>
      <c r="BG68" s="363"/>
      <c r="BH68" s="363"/>
      <c r="BI68" s="363"/>
      <c r="BJ68" s="363"/>
      <c r="BK68" s="363"/>
      <c r="BL68" s="363"/>
      <c r="BM68" s="363"/>
      <c r="BN68" s="363"/>
      <c r="BO68" s="363"/>
      <c r="BP68" s="363">
        <v>2018</v>
      </c>
      <c r="BQ68" s="363"/>
      <c r="BR68" s="363"/>
      <c r="BS68" s="363"/>
      <c r="BT68" s="363"/>
      <c r="BU68" s="363"/>
      <c r="BV68" s="363"/>
      <c r="BW68" s="363"/>
      <c r="BX68" s="363"/>
      <c r="BY68" s="363"/>
      <c r="BZ68" s="363"/>
      <c r="CA68" s="363"/>
      <c r="CB68" s="363"/>
      <c r="CC68" s="363">
        <v>2019</v>
      </c>
      <c r="CD68" s="363"/>
      <c r="CE68" s="363"/>
      <c r="CF68" s="363"/>
      <c r="CG68" s="363"/>
      <c r="CH68" s="363"/>
      <c r="CI68" s="363"/>
      <c r="CJ68" s="363"/>
      <c r="CK68" s="363"/>
      <c r="CL68" s="363"/>
      <c r="CM68" s="363"/>
      <c r="CN68" s="363"/>
      <c r="CO68" s="363"/>
      <c r="CP68" s="363">
        <v>2020</v>
      </c>
      <c r="CQ68" s="363"/>
      <c r="CR68" s="363"/>
      <c r="CS68" s="363"/>
      <c r="CT68" s="363"/>
      <c r="CU68" s="363"/>
      <c r="CV68" s="363"/>
      <c r="CW68" s="363"/>
      <c r="CX68" s="363"/>
      <c r="CY68" s="363"/>
      <c r="CZ68" s="363"/>
      <c r="DA68" s="363"/>
      <c r="DB68" s="363"/>
      <c r="DC68" s="363">
        <v>2021</v>
      </c>
      <c r="DD68" s="363"/>
      <c r="DE68" s="363"/>
      <c r="DF68" s="363"/>
      <c r="DG68" s="363"/>
      <c r="DH68" s="363"/>
      <c r="DI68" s="363"/>
      <c r="DJ68" s="363"/>
      <c r="DK68" s="363"/>
      <c r="DL68" s="363"/>
      <c r="DM68" s="363"/>
      <c r="DN68" s="363"/>
      <c r="DO68" s="363"/>
    </row>
    <row r="69" spans="1:119" s="192" customFormat="1" ht="15" customHeight="1">
      <c r="A69" s="188" t="s">
        <v>9</v>
      </c>
      <c r="B69" s="189" t="s">
        <v>89</v>
      </c>
      <c r="C69" s="190">
        <v>1</v>
      </c>
      <c r="D69" s="190">
        <v>2</v>
      </c>
      <c r="E69" s="190">
        <f aca="true" t="shared" si="174" ref="E69:N69">D69+1</f>
        <v>3</v>
      </c>
      <c r="F69" s="190">
        <f t="shared" si="174"/>
        <v>4</v>
      </c>
      <c r="G69" s="190">
        <f t="shared" si="174"/>
        <v>5</v>
      </c>
      <c r="H69" s="190">
        <f t="shared" si="174"/>
        <v>6</v>
      </c>
      <c r="I69" s="190">
        <f t="shared" si="174"/>
        <v>7</v>
      </c>
      <c r="J69" s="190">
        <f t="shared" si="174"/>
        <v>8</v>
      </c>
      <c r="K69" s="190">
        <f t="shared" si="174"/>
        <v>9</v>
      </c>
      <c r="L69" s="190">
        <f t="shared" si="174"/>
        <v>10</v>
      </c>
      <c r="M69" s="190">
        <f t="shared" si="174"/>
        <v>11</v>
      </c>
      <c r="N69" s="190">
        <f t="shared" si="174"/>
        <v>12</v>
      </c>
      <c r="O69" s="191" t="str">
        <f>O53</f>
        <v>Итого</v>
      </c>
      <c r="P69" s="190">
        <v>1</v>
      </c>
      <c r="Q69" s="190">
        <v>2</v>
      </c>
      <c r="R69" s="190">
        <f aca="true" t="shared" si="175" ref="R69:AA69">Q69+1</f>
        <v>3</v>
      </c>
      <c r="S69" s="190">
        <f t="shared" si="175"/>
        <v>4</v>
      </c>
      <c r="T69" s="190">
        <f t="shared" si="175"/>
        <v>5</v>
      </c>
      <c r="U69" s="190">
        <f t="shared" si="175"/>
        <v>6</v>
      </c>
      <c r="V69" s="190">
        <f t="shared" si="175"/>
        <v>7</v>
      </c>
      <c r="W69" s="190">
        <f t="shared" si="175"/>
        <v>8</v>
      </c>
      <c r="X69" s="190">
        <f t="shared" si="175"/>
        <v>9</v>
      </c>
      <c r="Y69" s="190">
        <f t="shared" si="175"/>
        <v>10</v>
      </c>
      <c r="Z69" s="190">
        <f t="shared" si="175"/>
        <v>11</v>
      </c>
      <c r="AA69" s="190">
        <f t="shared" si="175"/>
        <v>12</v>
      </c>
      <c r="AB69" s="191" t="str">
        <f>AB53</f>
        <v>Итого</v>
      </c>
      <c r="AC69" s="190">
        <v>1</v>
      </c>
      <c r="AD69" s="190">
        <v>2</v>
      </c>
      <c r="AE69" s="190">
        <f aca="true" t="shared" si="176" ref="AE69:AN69">AD69+1</f>
        <v>3</v>
      </c>
      <c r="AF69" s="190">
        <f t="shared" si="176"/>
        <v>4</v>
      </c>
      <c r="AG69" s="190">
        <f t="shared" si="176"/>
        <v>5</v>
      </c>
      <c r="AH69" s="190">
        <f t="shared" si="176"/>
        <v>6</v>
      </c>
      <c r="AI69" s="190">
        <f t="shared" si="176"/>
        <v>7</v>
      </c>
      <c r="AJ69" s="190">
        <f t="shared" si="176"/>
        <v>8</v>
      </c>
      <c r="AK69" s="190">
        <f t="shared" si="176"/>
        <v>9</v>
      </c>
      <c r="AL69" s="190">
        <f t="shared" si="176"/>
        <v>10</v>
      </c>
      <c r="AM69" s="190">
        <f t="shared" si="176"/>
        <v>11</v>
      </c>
      <c r="AN69" s="190">
        <f t="shared" si="176"/>
        <v>12</v>
      </c>
      <c r="AO69" s="191" t="str">
        <f>AO53</f>
        <v>Итого</v>
      </c>
      <c r="AP69" s="190">
        <v>1</v>
      </c>
      <c r="AQ69" s="190">
        <v>2</v>
      </c>
      <c r="AR69" s="190">
        <f aca="true" t="shared" si="177" ref="AR69:BA69">AQ69+1</f>
        <v>3</v>
      </c>
      <c r="AS69" s="190">
        <f t="shared" si="177"/>
        <v>4</v>
      </c>
      <c r="AT69" s="190">
        <f t="shared" si="177"/>
        <v>5</v>
      </c>
      <c r="AU69" s="190">
        <f t="shared" si="177"/>
        <v>6</v>
      </c>
      <c r="AV69" s="190">
        <f t="shared" si="177"/>
        <v>7</v>
      </c>
      <c r="AW69" s="190">
        <f t="shared" si="177"/>
        <v>8</v>
      </c>
      <c r="AX69" s="190">
        <f t="shared" si="177"/>
        <v>9</v>
      </c>
      <c r="AY69" s="190">
        <f t="shared" si="177"/>
        <v>10</v>
      </c>
      <c r="AZ69" s="190">
        <f t="shared" si="177"/>
        <v>11</v>
      </c>
      <c r="BA69" s="190">
        <f t="shared" si="177"/>
        <v>12</v>
      </c>
      <c r="BB69" s="191" t="str">
        <f>BB53</f>
        <v>Итого</v>
      </c>
      <c r="BC69" s="190">
        <v>1</v>
      </c>
      <c r="BD69" s="190">
        <v>2</v>
      </c>
      <c r="BE69" s="190">
        <f aca="true" t="shared" si="178" ref="BE69:BN69">BD69+1</f>
        <v>3</v>
      </c>
      <c r="BF69" s="190">
        <f t="shared" si="178"/>
        <v>4</v>
      </c>
      <c r="BG69" s="190">
        <f t="shared" si="178"/>
        <v>5</v>
      </c>
      <c r="BH69" s="190">
        <f t="shared" si="178"/>
        <v>6</v>
      </c>
      <c r="BI69" s="190">
        <f t="shared" si="178"/>
        <v>7</v>
      </c>
      <c r="BJ69" s="190">
        <f t="shared" si="178"/>
        <v>8</v>
      </c>
      <c r="BK69" s="190">
        <f t="shared" si="178"/>
        <v>9</v>
      </c>
      <c r="BL69" s="190">
        <f t="shared" si="178"/>
        <v>10</v>
      </c>
      <c r="BM69" s="190">
        <f t="shared" si="178"/>
        <v>11</v>
      </c>
      <c r="BN69" s="190">
        <f t="shared" si="178"/>
        <v>12</v>
      </c>
      <c r="BO69" s="191" t="str">
        <f>BO53</f>
        <v>Итого</v>
      </c>
      <c r="BP69" s="190">
        <v>1</v>
      </c>
      <c r="BQ69" s="190">
        <v>2</v>
      </c>
      <c r="BR69" s="190">
        <f aca="true" t="shared" si="179" ref="BR69:CA69">BQ69+1</f>
        <v>3</v>
      </c>
      <c r="BS69" s="190">
        <f t="shared" si="179"/>
        <v>4</v>
      </c>
      <c r="BT69" s="190">
        <f t="shared" si="179"/>
        <v>5</v>
      </c>
      <c r="BU69" s="190">
        <f t="shared" si="179"/>
        <v>6</v>
      </c>
      <c r="BV69" s="190">
        <f t="shared" si="179"/>
        <v>7</v>
      </c>
      <c r="BW69" s="190">
        <f t="shared" si="179"/>
        <v>8</v>
      </c>
      <c r="BX69" s="190">
        <f t="shared" si="179"/>
        <v>9</v>
      </c>
      <c r="BY69" s="190">
        <f t="shared" si="179"/>
        <v>10</v>
      </c>
      <c r="BZ69" s="190">
        <f t="shared" si="179"/>
        <v>11</v>
      </c>
      <c r="CA69" s="190">
        <f t="shared" si="179"/>
        <v>12</v>
      </c>
      <c r="CB69" s="191" t="str">
        <f>CB53</f>
        <v>Итого</v>
      </c>
      <c r="CC69" s="190">
        <v>1</v>
      </c>
      <c r="CD69" s="190">
        <v>2</v>
      </c>
      <c r="CE69" s="190">
        <f aca="true" t="shared" si="180" ref="CE69:CN69">CD69+1</f>
        <v>3</v>
      </c>
      <c r="CF69" s="190">
        <f t="shared" si="180"/>
        <v>4</v>
      </c>
      <c r="CG69" s="190">
        <f t="shared" si="180"/>
        <v>5</v>
      </c>
      <c r="CH69" s="190">
        <f t="shared" si="180"/>
        <v>6</v>
      </c>
      <c r="CI69" s="190">
        <f t="shared" si="180"/>
        <v>7</v>
      </c>
      <c r="CJ69" s="190">
        <f t="shared" si="180"/>
        <v>8</v>
      </c>
      <c r="CK69" s="190">
        <f t="shared" si="180"/>
        <v>9</v>
      </c>
      <c r="CL69" s="190">
        <f t="shared" si="180"/>
        <v>10</v>
      </c>
      <c r="CM69" s="190">
        <f t="shared" si="180"/>
        <v>11</v>
      </c>
      <c r="CN69" s="190">
        <f t="shared" si="180"/>
        <v>12</v>
      </c>
      <c r="CO69" s="191" t="str">
        <f>CO53</f>
        <v>Итого</v>
      </c>
      <c r="CP69" s="190">
        <v>1</v>
      </c>
      <c r="CQ69" s="190">
        <f aca="true" t="shared" si="181" ref="CQ69:DA69">CP69+1</f>
        <v>2</v>
      </c>
      <c r="CR69" s="190">
        <f t="shared" si="181"/>
        <v>3</v>
      </c>
      <c r="CS69" s="190">
        <f t="shared" si="181"/>
        <v>4</v>
      </c>
      <c r="CT69" s="190">
        <f t="shared" si="181"/>
        <v>5</v>
      </c>
      <c r="CU69" s="190">
        <f t="shared" si="181"/>
        <v>6</v>
      </c>
      <c r="CV69" s="190">
        <f t="shared" si="181"/>
        <v>7</v>
      </c>
      <c r="CW69" s="190">
        <f t="shared" si="181"/>
        <v>8</v>
      </c>
      <c r="CX69" s="190">
        <f t="shared" si="181"/>
        <v>9</v>
      </c>
      <c r="CY69" s="190">
        <f t="shared" si="181"/>
        <v>10</v>
      </c>
      <c r="CZ69" s="190">
        <f t="shared" si="181"/>
        <v>11</v>
      </c>
      <c r="DA69" s="190">
        <f t="shared" si="181"/>
        <v>12</v>
      </c>
      <c r="DB69" s="191" t="str">
        <f>DB53</f>
        <v>Итого</v>
      </c>
      <c r="DC69" s="190">
        <v>1</v>
      </c>
      <c r="DD69" s="190">
        <f aca="true" t="shared" si="182" ref="DD69:DN69">DC69+1</f>
        <v>2</v>
      </c>
      <c r="DE69" s="190">
        <f t="shared" si="182"/>
        <v>3</v>
      </c>
      <c r="DF69" s="190">
        <f t="shared" si="182"/>
        <v>4</v>
      </c>
      <c r="DG69" s="190">
        <f t="shared" si="182"/>
        <v>5</v>
      </c>
      <c r="DH69" s="190">
        <f t="shared" si="182"/>
        <v>6</v>
      </c>
      <c r="DI69" s="190">
        <f t="shared" si="182"/>
        <v>7</v>
      </c>
      <c r="DJ69" s="190">
        <f t="shared" si="182"/>
        <v>8</v>
      </c>
      <c r="DK69" s="190">
        <f t="shared" si="182"/>
        <v>9</v>
      </c>
      <c r="DL69" s="190">
        <f t="shared" si="182"/>
        <v>10</v>
      </c>
      <c r="DM69" s="190">
        <f t="shared" si="182"/>
        <v>11</v>
      </c>
      <c r="DN69" s="190">
        <f t="shared" si="182"/>
        <v>12</v>
      </c>
      <c r="DO69" s="191" t="s">
        <v>0</v>
      </c>
    </row>
    <row r="70" spans="1:119" ht="12.75">
      <c r="A70" s="188" t="s">
        <v>106</v>
      </c>
      <c r="B70" s="193">
        <f>O70+AB70+AO70+BB70+BO70+CB70+CO70+DB70+DO70</f>
        <v>98545.902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4">
        <f>'1-Ф3'!M$28</f>
        <v>98545.902</v>
      </c>
      <c r="M70" s="194"/>
      <c r="N70" s="194"/>
      <c r="O70" s="195">
        <f>SUM(C70:N70)</f>
        <v>98545.902</v>
      </c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>
        <f>SUM(P70:AA70)</f>
        <v>0</v>
      </c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>
        <f>SUM(AC70:AN70)</f>
        <v>0</v>
      </c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</row>
    <row r="71" spans="1:119" s="197" customFormat="1" ht="20.25" customHeight="1">
      <c r="A71" s="188" t="s">
        <v>31</v>
      </c>
      <c r="B71" s="193">
        <f>O71+AB71+AO71+BB71+BO71+CB71+CO71+DB71+DO71</f>
        <v>5173.659855000001</v>
      </c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5">
        <f>SUM(C71:N71)</f>
        <v>0</v>
      </c>
      <c r="P71" s="194"/>
      <c r="Q71" s="194"/>
      <c r="R71" s="194"/>
      <c r="S71" s="194"/>
      <c r="T71" s="194"/>
      <c r="U71" s="194"/>
      <c r="V71" s="194">
        <f>SUM(O72:V72)</f>
        <v>5173.659855000001</v>
      </c>
      <c r="W71" s="194"/>
      <c r="X71" s="194"/>
      <c r="Y71" s="194"/>
      <c r="Z71" s="194"/>
      <c r="AA71" s="194"/>
      <c r="AB71" s="195">
        <f>SUM(P71:AA71)</f>
        <v>5173.659855000001</v>
      </c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5">
        <f>SUM(AC71:AN71)</f>
        <v>0</v>
      </c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5">
        <f>SUM(AP71:BA71)</f>
        <v>0</v>
      </c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5">
        <f>SUM(BC71:BN71)</f>
        <v>0</v>
      </c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5">
        <f>SUM(BP71:CA71)</f>
        <v>0</v>
      </c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5">
        <f>SUM(CC71:CN71)</f>
        <v>0</v>
      </c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5">
        <f>SUM(CP71:DA71)</f>
        <v>0</v>
      </c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5">
        <f>SUM(DC71:DN71)</f>
        <v>0</v>
      </c>
    </row>
    <row r="72" spans="1:119" s="197" customFormat="1" ht="12.75">
      <c r="A72" s="198" t="s">
        <v>13</v>
      </c>
      <c r="B72" s="193">
        <f>O72+AB72+AO72+BB72+BO72+CB72+CO72+DB72+DO72</f>
        <v>29808.902390895335</v>
      </c>
      <c r="C72" s="194"/>
      <c r="D72" s="194">
        <f aca="true" t="shared" si="183" ref="D72:N72">C75*$B68/12</f>
        <v>0</v>
      </c>
      <c r="E72" s="194">
        <f t="shared" si="183"/>
        <v>0</v>
      </c>
      <c r="F72" s="194">
        <f t="shared" si="183"/>
        <v>0</v>
      </c>
      <c r="G72" s="194">
        <f t="shared" si="183"/>
        <v>0</v>
      </c>
      <c r="H72" s="194">
        <f t="shared" si="183"/>
        <v>0</v>
      </c>
      <c r="I72" s="194">
        <f t="shared" si="183"/>
        <v>0</v>
      </c>
      <c r="J72" s="194">
        <f t="shared" si="183"/>
        <v>0</v>
      </c>
      <c r="K72" s="194">
        <f t="shared" si="183"/>
        <v>0</v>
      </c>
      <c r="L72" s="194">
        <f t="shared" si="183"/>
        <v>0</v>
      </c>
      <c r="M72" s="194">
        <f t="shared" si="183"/>
        <v>574.8510950000001</v>
      </c>
      <c r="N72" s="194">
        <f t="shared" si="183"/>
        <v>574.8510950000001</v>
      </c>
      <c r="O72" s="195">
        <f>SUM(C72:N72)</f>
        <v>1149.7021900000002</v>
      </c>
      <c r="P72" s="194">
        <f aca="true" t="shared" si="184" ref="P72:AA72">O75*$B68/12</f>
        <v>574.8510950000001</v>
      </c>
      <c r="Q72" s="194">
        <f t="shared" si="184"/>
        <v>574.8510950000001</v>
      </c>
      <c r="R72" s="194">
        <f t="shared" si="184"/>
        <v>574.8510950000001</v>
      </c>
      <c r="S72" s="194">
        <f t="shared" si="184"/>
        <v>574.8510950000001</v>
      </c>
      <c r="T72" s="194">
        <f t="shared" si="184"/>
        <v>574.8510950000001</v>
      </c>
      <c r="U72" s="194">
        <f t="shared" si="184"/>
        <v>574.8510950000001</v>
      </c>
      <c r="V72" s="194">
        <f t="shared" si="184"/>
        <v>574.8510950000001</v>
      </c>
      <c r="W72" s="194">
        <f t="shared" si="184"/>
        <v>605.0307774875001</v>
      </c>
      <c r="X72" s="194">
        <f t="shared" si="184"/>
        <v>598.5769722368854</v>
      </c>
      <c r="Y72" s="194">
        <f t="shared" si="184"/>
        <v>592.0855197889754</v>
      </c>
      <c r="Z72" s="194">
        <f t="shared" si="184"/>
        <v>585.5562005351193</v>
      </c>
      <c r="AA72" s="194">
        <f t="shared" si="184"/>
        <v>578.9887935856156</v>
      </c>
      <c r="AB72" s="195">
        <f>SUM(P72:AA72)</f>
        <v>6984.195928634096</v>
      </c>
      <c r="AC72" s="194">
        <f aca="true" t="shared" si="185" ref="AC72:AN72">AB75*$B68/12</f>
        <v>572.3830767622399</v>
      </c>
      <c r="AD72" s="194">
        <f t="shared" si="185"/>
        <v>565.7388265907277</v>
      </c>
      <c r="AE72" s="194">
        <f t="shared" si="185"/>
        <v>559.0558182932151</v>
      </c>
      <c r="AF72" s="194">
        <f t="shared" si="185"/>
        <v>552.3338257806338</v>
      </c>
      <c r="AG72" s="194">
        <f t="shared" si="185"/>
        <v>545.5726216450623</v>
      </c>
      <c r="AH72" s="194">
        <f t="shared" si="185"/>
        <v>538.7719771520334</v>
      </c>
      <c r="AI72" s="194">
        <f t="shared" si="185"/>
        <v>531.931662232795</v>
      </c>
      <c r="AJ72" s="194">
        <f t="shared" si="185"/>
        <v>525.0514454765279</v>
      </c>
      <c r="AK72" s="194">
        <f t="shared" si="185"/>
        <v>518.1310941225157</v>
      </c>
      <c r="AL72" s="194">
        <f t="shared" si="185"/>
        <v>511.17037405227194</v>
      </c>
      <c r="AM72" s="194">
        <f t="shared" si="185"/>
        <v>504.1690497816184</v>
      </c>
      <c r="AN72" s="194">
        <f t="shared" si="185"/>
        <v>497.12688445271937</v>
      </c>
      <c r="AO72" s="195">
        <f>SUM(AC72:AN72)</f>
        <v>6421.43665634236</v>
      </c>
      <c r="AP72" s="194">
        <f aca="true" t="shared" si="186" ref="AP72:BA72">AO75*$B68/12</f>
        <v>490.04363982606833</v>
      </c>
      <c r="AQ72" s="194">
        <f t="shared" si="186"/>
        <v>482.9190762724286</v>
      </c>
      <c r="AR72" s="194">
        <f t="shared" si="186"/>
        <v>475.75295276472593</v>
      </c>
      <c r="AS72" s="194">
        <f t="shared" si="186"/>
        <v>468.5450268698949</v>
      </c>
      <c r="AT72" s="194">
        <f t="shared" si="186"/>
        <v>461.2950547406776</v>
      </c>
      <c r="AU72" s="194">
        <f t="shared" si="186"/>
        <v>454.00279110737296</v>
      </c>
      <c r="AV72" s="194">
        <f t="shared" si="186"/>
        <v>446.66798926954084</v>
      </c>
      <c r="AW72" s="194">
        <f t="shared" si="186"/>
        <v>439.29040108765474</v>
      </c>
      <c r="AX72" s="194">
        <f t="shared" si="186"/>
        <v>431.8697769747075</v>
      </c>
      <c r="AY72" s="194">
        <f t="shared" si="186"/>
        <v>424.40586588776813</v>
      </c>
      <c r="AZ72" s="194">
        <f t="shared" si="186"/>
        <v>416.89841531948827</v>
      </c>
      <c r="BA72" s="194">
        <f t="shared" si="186"/>
        <v>409.3471712895601</v>
      </c>
      <c r="BB72" s="195">
        <f>SUM(AP72:BA72)</f>
        <v>5401.038161409888</v>
      </c>
      <c r="BC72" s="194">
        <f aca="true" t="shared" si="187" ref="BC72:BN72">BB75*$B68/12</f>
        <v>401.75187833612404</v>
      </c>
      <c r="BD72" s="194">
        <f t="shared" si="187"/>
        <v>394.1122795071263</v>
      </c>
      <c r="BE72" s="194">
        <f t="shared" si="187"/>
        <v>386.428116351626</v>
      </c>
      <c r="BF72" s="194">
        <f t="shared" si="187"/>
        <v>378.69912891105196</v>
      </c>
      <c r="BG72" s="194">
        <f t="shared" si="187"/>
        <v>370.925055710408</v>
      </c>
      <c r="BH72" s="194">
        <f t="shared" si="187"/>
        <v>363.1056337494269</v>
      </c>
      <c r="BI72" s="194">
        <f t="shared" si="187"/>
        <v>355.24059849367336</v>
      </c>
      <c r="BJ72" s="194">
        <f t="shared" si="187"/>
        <v>347.32968386559463</v>
      </c>
      <c r="BK72" s="194">
        <f t="shared" si="187"/>
        <v>339.37262223551875</v>
      </c>
      <c r="BL72" s="194">
        <f t="shared" si="187"/>
        <v>331.36914441260075</v>
      </c>
      <c r="BM72" s="194">
        <f t="shared" si="187"/>
        <v>323.3189796357158</v>
      </c>
      <c r="BN72" s="194">
        <f t="shared" si="187"/>
        <v>315.22185556429895</v>
      </c>
      <c r="BO72" s="195">
        <f>SUM(BC72:BN72)</f>
        <v>4306.874976773164</v>
      </c>
      <c r="BP72" s="194">
        <f aca="true" t="shared" si="188" ref="BP72:CA72">BO75*$B68/12</f>
        <v>307.0774982691322</v>
      </c>
      <c r="BQ72" s="194">
        <f t="shared" si="188"/>
        <v>298.8856322230769</v>
      </c>
      <c r="BR72" s="194">
        <f t="shared" si="188"/>
        <v>290.64598029175306</v>
      </c>
      <c r="BS72" s="194">
        <f t="shared" si="188"/>
        <v>282.3582637241631</v>
      </c>
      <c r="BT72" s="194">
        <f t="shared" si="188"/>
        <v>274.0222021432623</v>
      </c>
      <c r="BU72" s="194">
        <f t="shared" si="188"/>
        <v>265.6375135364728</v>
      </c>
      <c r="BV72" s="194">
        <f t="shared" si="188"/>
        <v>257.2039142461437</v>
      </c>
      <c r="BW72" s="194">
        <f t="shared" si="188"/>
        <v>248.7211189599544</v>
      </c>
      <c r="BX72" s="194">
        <f t="shared" si="188"/>
        <v>240.1888407012623</v>
      </c>
      <c r="BY72" s="194">
        <f t="shared" si="188"/>
        <v>231.6067908193945</v>
      </c>
      <c r="BZ72" s="194">
        <f t="shared" si="188"/>
        <v>222.97467897988244</v>
      </c>
      <c r="CA72" s="194">
        <f t="shared" si="188"/>
        <v>214.29221315463994</v>
      </c>
      <c r="CB72" s="195">
        <f>SUM(BP72:CA72)</f>
        <v>3133.6146470491376</v>
      </c>
      <c r="CC72" s="194">
        <f aca="true" t="shared" si="189" ref="CC72:CN72">CB75*$B68/12</f>
        <v>205.55909961208351</v>
      </c>
      <c r="CD72" s="194">
        <f t="shared" si="189"/>
        <v>196.77504290719548</v>
      </c>
      <c r="CE72" s="194">
        <f t="shared" si="189"/>
        <v>187.93974587152897</v>
      </c>
      <c r="CF72" s="194">
        <f t="shared" si="189"/>
        <v>179.05290960315438</v>
      </c>
      <c r="CG72" s="194">
        <f t="shared" si="189"/>
        <v>170.11423345654762</v>
      </c>
      <c r="CH72" s="194">
        <f t="shared" si="189"/>
        <v>161.123415032419</v>
      </c>
      <c r="CI72" s="194">
        <f t="shared" si="189"/>
        <v>152.08015016748297</v>
      </c>
      <c r="CJ72" s="194">
        <f t="shared" si="189"/>
        <v>142.9841329241681</v>
      </c>
      <c r="CK72" s="194">
        <f t="shared" si="189"/>
        <v>133.83505558026727</v>
      </c>
      <c r="CL72" s="194">
        <f t="shared" si="189"/>
        <v>124.63260861852699</v>
      </c>
      <c r="CM72" s="194">
        <f t="shared" si="189"/>
        <v>115.37648071617657</v>
      </c>
      <c r="CN72" s="194">
        <f t="shared" si="189"/>
        <v>106.06635873439579</v>
      </c>
      <c r="CO72" s="195">
        <f>SUM(CC72:CN72)</f>
        <v>1875.5392332239467</v>
      </c>
      <c r="CP72" s="194">
        <f aca="true" t="shared" si="190" ref="CP72:DA72">CO75*$B68/12</f>
        <v>96.70192770772127</v>
      </c>
      <c r="CQ72" s="194">
        <f t="shared" si="190"/>
        <v>87.28287083339114</v>
      </c>
      <c r="CR72" s="194">
        <f t="shared" si="190"/>
        <v>77.80886946062743</v>
      </c>
      <c r="CS72" s="194">
        <f t="shared" si="190"/>
        <v>68.27960307985593</v>
      </c>
      <c r="CT72" s="194">
        <f t="shared" si="190"/>
        <v>58.69474931186326</v>
      </c>
      <c r="CU72" s="194">
        <f t="shared" si="190"/>
        <v>49.053983896890635</v>
      </c>
      <c r="CV72" s="194">
        <f t="shared" si="190"/>
        <v>39.356980683664005</v>
      </c>
      <c r="CW72" s="194">
        <f t="shared" si="190"/>
        <v>29.603411618360223</v>
      </c>
      <c r="CX72" s="194">
        <f t="shared" si="190"/>
        <v>19.792946733508828</v>
      </c>
      <c r="CY72" s="194">
        <f t="shared" si="190"/>
        <v>9.925254136829134</v>
      </c>
      <c r="CZ72" s="194">
        <f t="shared" si="190"/>
        <v>2.143375847178201E-12</v>
      </c>
      <c r="DA72" s="194">
        <f t="shared" si="190"/>
        <v>2.143375847178201E-12</v>
      </c>
      <c r="DB72" s="195">
        <f>SUM(CP72:DA72)</f>
        <v>536.5005974627162</v>
      </c>
      <c r="DC72" s="194">
        <f aca="true" t="shared" si="191" ref="DC72:DN72">DB75*$B68/12</f>
        <v>2.143375847178201E-12</v>
      </c>
      <c r="DD72" s="194">
        <f t="shared" si="191"/>
        <v>2.143375847178201E-12</v>
      </c>
      <c r="DE72" s="194">
        <f t="shared" si="191"/>
        <v>2.143375847178201E-12</v>
      </c>
      <c r="DF72" s="194">
        <f t="shared" si="191"/>
        <v>2.143375847178201E-12</v>
      </c>
      <c r="DG72" s="194">
        <f t="shared" si="191"/>
        <v>2.143375847178201E-12</v>
      </c>
      <c r="DH72" s="194">
        <f t="shared" si="191"/>
        <v>2.143375847178201E-12</v>
      </c>
      <c r="DI72" s="194">
        <f t="shared" si="191"/>
        <v>2.143375847178201E-12</v>
      </c>
      <c r="DJ72" s="194">
        <f t="shared" si="191"/>
        <v>2.143375847178201E-12</v>
      </c>
      <c r="DK72" s="194">
        <f t="shared" si="191"/>
        <v>2.143375847178201E-12</v>
      </c>
      <c r="DL72" s="194">
        <f t="shared" si="191"/>
        <v>2.143375847178201E-12</v>
      </c>
      <c r="DM72" s="194">
        <f t="shared" si="191"/>
        <v>2.143375847178201E-12</v>
      </c>
      <c r="DN72" s="194">
        <f t="shared" si="191"/>
        <v>2.143375847178201E-12</v>
      </c>
      <c r="DO72" s="195">
        <f>SUM(DC72:DN72)</f>
        <v>2.5720510166138408E-11</v>
      </c>
    </row>
    <row r="73" spans="1:119" ht="12.75">
      <c r="A73" s="188" t="s">
        <v>14</v>
      </c>
      <c r="B73" s="193">
        <f>O73+AB73+AO73+BB73+BO73+CB73+CO73+DB73+DO73</f>
        <v>103719.56185499961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9"/>
      <c r="N73" s="199"/>
      <c r="O73" s="195">
        <f>SUM(C73:N73)</f>
        <v>0</v>
      </c>
      <c r="P73" s="199"/>
      <c r="Q73" s="199"/>
      <c r="R73" s="199"/>
      <c r="S73" s="199"/>
      <c r="T73" s="199"/>
      <c r="U73" s="199"/>
      <c r="V73" s="199"/>
      <c r="W73" s="194">
        <f>$B77-W72</f>
        <v>1106.3666143910987</v>
      </c>
      <c r="X73" s="194">
        <f>$B77-X72</f>
        <v>1112.8204196417137</v>
      </c>
      <c r="Y73" s="194">
        <f>$B77-Y72</f>
        <v>1119.3118720896236</v>
      </c>
      <c r="Z73" s="194">
        <f>$B77-Z72</f>
        <v>1125.8411913434797</v>
      </c>
      <c r="AA73" s="194">
        <f>$B77-AA72</f>
        <v>1132.4085982929832</v>
      </c>
      <c r="AB73" s="195">
        <f>SUM(P73:AA73)</f>
        <v>5596.748695758899</v>
      </c>
      <c r="AC73" s="194">
        <f aca="true" t="shared" si="192" ref="AC73:AN73">$B77-AC72</f>
        <v>1139.014315116359</v>
      </c>
      <c r="AD73" s="194">
        <f t="shared" si="192"/>
        <v>1145.6585652878712</v>
      </c>
      <c r="AE73" s="194">
        <f t="shared" si="192"/>
        <v>1152.3415735853837</v>
      </c>
      <c r="AF73" s="194">
        <f t="shared" si="192"/>
        <v>1159.0635660979651</v>
      </c>
      <c r="AG73" s="194">
        <f t="shared" si="192"/>
        <v>1165.8247702335366</v>
      </c>
      <c r="AH73" s="194">
        <f t="shared" si="192"/>
        <v>1172.6254147265654</v>
      </c>
      <c r="AI73" s="194">
        <f t="shared" si="192"/>
        <v>1179.465729645804</v>
      </c>
      <c r="AJ73" s="194">
        <f t="shared" si="192"/>
        <v>1186.3459464020711</v>
      </c>
      <c r="AK73" s="194">
        <f t="shared" si="192"/>
        <v>1193.266297756083</v>
      </c>
      <c r="AL73" s="194">
        <f t="shared" si="192"/>
        <v>1200.227017826327</v>
      </c>
      <c r="AM73" s="194">
        <f t="shared" si="192"/>
        <v>1207.2283420969804</v>
      </c>
      <c r="AN73" s="194">
        <f t="shared" si="192"/>
        <v>1214.2705074258795</v>
      </c>
      <c r="AO73" s="195">
        <f>SUM(AC73:AN73)</f>
        <v>14115.332046200825</v>
      </c>
      <c r="AP73" s="194">
        <f aca="true" t="shared" si="193" ref="AP73:BA73">$B77-AP72</f>
        <v>1221.3537520525306</v>
      </c>
      <c r="AQ73" s="194">
        <f t="shared" si="193"/>
        <v>1228.4783156061703</v>
      </c>
      <c r="AR73" s="194">
        <f t="shared" si="193"/>
        <v>1235.644439113873</v>
      </c>
      <c r="AS73" s="194">
        <f t="shared" si="193"/>
        <v>1242.852365008704</v>
      </c>
      <c r="AT73" s="194">
        <f t="shared" si="193"/>
        <v>1250.1023371379213</v>
      </c>
      <c r="AU73" s="194">
        <f t="shared" si="193"/>
        <v>1257.394600771226</v>
      </c>
      <c r="AV73" s="194">
        <f t="shared" si="193"/>
        <v>1264.729402609058</v>
      </c>
      <c r="AW73" s="194">
        <f t="shared" si="193"/>
        <v>1272.106990790944</v>
      </c>
      <c r="AX73" s="194">
        <f t="shared" si="193"/>
        <v>1279.5276149038914</v>
      </c>
      <c r="AY73" s="194">
        <f t="shared" si="193"/>
        <v>1286.9915259908307</v>
      </c>
      <c r="AZ73" s="194">
        <f t="shared" si="193"/>
        <v>1294.4989765591106</v>
      </c>
      <c r="BA73" s="194">
        <f t="shared" si="193"/>
        <v>1302.0502205890389</v>
      </c>
      <c r="BB73" s="195">
        <f>SUM(AP73:BA73)</f>
        <v>15135.730541133298</v>
      </c>
      <c r="BC73" s="194">
        <f aca="true" t="shared" si="194" ref="BC73:BN73">$B77-BC72</f>
        <v>1309.6455135424749</v>
      </c>
      <c r="BD73" s="194">
        <f t="shared" si="194"/>
        <v>1317.2851123714727</v>
      </c>
      <c r="BE73" s="194">
        <f t="shared" si="194"/>
        <v>1324.969275526973</v>
      </c>
      <c r="BF73" s="194">
        <f t="shared" si="194"/>
        <v>1332.698262967547</v>
      </c>
      <c r="BG73" s="194">
        <f t="shared" si="194"/>
        <v>1340.4723361681909</v>
      </c>
      <c r="BH73" s="194">
        <f t="shared" si="194"/>
        <v>1348.291758129172</v>
      </c>
      <c r="BI73" s="194">
        <f t="shared" si="194"/>
        <v>1356.1567933849255</v>
      </c>
      <c r="BJ73" s="194">
        <f t="shared" si="194"/>
        <v>1364.0677080130042</v>
      </c>
      <c r="BK73" s="194">
        <f t="shared" si="194"/>
        <v>1372.0247696430802</v>
      </c>
      <c r="BL73" s="194">
        <f t="shared" si="194"/>
        <v>1380.0282474659982</v>
      </c>
      <c r="BM73" s="194">
        <f t="shared" si="194"/>
        <v>1388.0784122428831</v>
      </c>
      <c r="BN73" s="194">
        <f t="shared" si="194"/>
        <v>1396.1755363143</v>
      </c>
      <c r="BO73" s="195">
        <f>SUM(BC73:BN73)</f>
        <v>16229.893725770022</v>
      </c>
      <c r="BP73" s="194">
        <f aca="true" t="shared" si="195" ref="BP73:CA73">$B77-BP72</f>
        <v>1404.3198936094668</v>
      </c>
      <c r="BQ73" s="194">
        <f t="shared" si="195"/>
        <v>1412.511759655522</v>
      </c>
      <c r="BR73" s="194">
        <f t="shared" si="195"/>
        <v>1420.7514115868457</v>
      </c>
      <c r="BS73" s="194">
        <f t="shared" si="195"/>
        <v>1429.0391281544357</v>
      </c>
      <c r="BT73" s="194">
        <f t="shared" si="195"/>
        <v>1437.3751897353366</v>
      </c>
      <c r="BU73" s="194">
        <f t="shared" si="195"/>
        <v>1445.759878342126</v>
      </c>
      <c r="BV73" s="194">
        <f t="shared" si="195"/>
        <v>1454.1934776324551</v>
      </c>
      <c r="BW73" s="194">
        <f t="shared" si="195"/>
        <v>1462.6762729186446</v>
      </c>
      <c r="BX73" s="194">
        <f t="shared" si="195"/>
        <v>1471.2085511773366</v>
      </c>
      <c r="BY73" s="194">
        <f t="shared" si="195"/>
        <v>1479.7906010592044</v>
      </c>
      <c r="BZ73" s="194">
        <f t="shared" si="195"/>
        <v>1488.4227128987166</v>
      </c>
      <c r="CA73" s="194">
        <f t="shared" si="195"/>
        <v>1497.105178723959</v>
      </c>
      <c r="CB73" s="195">
        <f>SUM(BP73:CA73)</f>
        <v>17403.15405549405</v>
      </c>
      <c r="CC73" s="194">
        <f aca="true" t="shared" si="196" ref="CC73:CN73">$B77-CC72</f>
        <v>1505.8382922665155</v>
      </c>
      <c r="CD73" s="194">
        <f t="shared" si="196"/>
        <v>1514.6223489714034</v>
      </c>
      <c r="CE73" s="194">
        <f t="shared" si="196"/>
        <v>1523.45764600707</v>
      </c>
      <c r="CF73" s="194">
        <f t="shared" si="196"/>
        <v>1532.3444822754445</v>
      </c>
      <c r="CG73" s="194">
        <f t="shared" si="196"/>
        <v>1541.2831584220512</v>
      </c>
      <c r="CH73" s="194">
        <f t="shared" si="196"/>
        <v>1550.27397684618</v>
      </c>
      <c r="CI73" s="194">
        <f t="shared" si="196"/>
        <v>1559.317241711116</v>
      </c>
      <c r="CJ73" s="194">
        <f t="shared" si="196"/>
        <v>1568.4132589544308</v>
      </c>
      <c r="CK73" s="194">
        <f t="shared" si="196"/>
        <v>1577.5623362983317</v>
      </c>
      <c r="CL73" s="194">
        <f t="shared" si="196"/>
        <v>1586.764783260072</v>
      </c>
      <c r="CM73" s="194">
        <f t="shared" si="196"/>
        <v>1596.0209111624224</v>
      </c>
      <c r="CN73" s="194">
        <f t="shared" si="196"/>
        <v>1605.331033144203</v>
      </c>
      <c r="CO73" s="195">
        <f>SUM(CC73:CN73)</f>
        <v>18661.22946931924</v>
      </c>
      <c r="CP73" s="194">
        <f aca="true" t="shared" si="197" ref="CP73:CY73">$B77-CP72</f>
        <v>1614.6954641708776</v>
      </c>
      <c r="CQ73" s="194">
        <f t="shared" si="197"/>
        <v>1624.1145210452078</v>
      </c>
      <c r="CR73" s="194">
        <f t="shared" si="197"/>
        <v>1633.5885224179715</v>
      </c>
      <c r="CS73" s="194">
        <f t="shared" si="197"/>
        <v>1643.117788798743</v>
      </c>
      <c r="CT73" s="194">
        <f t="shared" si="197"/>
        <v>1652.7026425667357</v>
      </c>
      <c r="CU73" s="194">
        <f t="shared" si="197"/>
        <v>1662.3434079817082</v>
      </c>
      <c r="CV73" s="194">
        <f t="shared" si="197"/>
        <v>1672.040411194935</v>
      </c>
      <c r="CW73" s="194">
        <f t="shared" si="197"/>
        <v>1681.7939802602386</v>
      </c>
      <c r="CX73" s="194">
        <f t="shared" si="197"/>
        <v>1691.60444514509</v>
      </c>
      <c r="CY73" s="194">
        <f t="shared" si="197"/>
        <v>1701.4721377417698</v>
      </c>
      <c r="CZ73" s="194"/>
      <c r="DA73" s="194"/>
      <c r="DB73" s="195">
        <f>SUM(CP73:DA73)</f>
        <v>16577.47332132328</v>
      </c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5">
        <f>SUM(DC73:DN73)</f>
        <v>0</v>
      </c>
    </row>
    <row r="74" spans="1:119" ht="12.75">
      <c r="A74" s="188" t="s">
        <v>15</v>
      </c>
      <c r="B74" s="193">
        <f>O74+AB74+AO74+BB74+BO74+CB74+CO74+DB74+DO74</f>
        <v>24635.242535895333</v>
      </c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9"/>
      <c r="N74" s="199"/>
      <c r="O74" s="195">
        <f>SUM(C74:N74)</f>
        <v>0</v>
      </c>
      <c r="P74" s="199"/>
      <c r="Q74" s="199"/>
      <c r="R74" s="199"/>
      <c r="S74" s="199"/>
      <c r="T74" s="199"/>
      <c r="U74" s="199"/>
      <c r="V74" s="199"/>
      <c r="W74" s="194">
        <f>W72</f>
        <v>605.0307774875001</v>
      </c>
      <c r="X74" s="194">
        <f>X72</f>
        <v>598.5769722368854</v>
      </c>
      <c r="Y74" s="194">
        <f>Y72</f>
        <v>592.0855197889754</v>
      </c>
      <c r="Z74" s="194">
        <f>Z72</f>
        <v>585.5562005351193</v>
      </c>
      <c r="AA74" s="194">
        <f>AA72</f>
        <v>578.9887935856156</v>
      </c>
      <c r="AB74" s="195">
        <f>SUM(P74:AA74)</f>
        <v>2960.238263634096</v>
      </c>
      <c r="AC74" s="194">
        <f aca="true" t="shared" si="198" ref="AC74:AK74">AC72</f>
        <v>572.3830767622399</v>
      </c>
      <c r="AD74" s="194">
        <f t="shared" si="198"/>
        <v>565.7388265907277</v>
      </c>
      <c r="AE74" s="194">
        <f t="shared" si="198"/>
        <v>559.0558182932151</v>
      </c>
      <c r="AF74" s="194">
        <f t="shared" si="198"/>
        <v>552.3338257806338</v>
      </c>
      <c r="AG74" s="194">
        <f t="shared" si="198"/>
        <v>545.5726216450623</v>
      </c>
      <c r="AH74" s="194">
        <f t="shared" si="198"/>
        <v>538.7719771520334</v>
      </c>
      <c r="AI74" s="194">
        <f t="shared" si="198"/>
        <v>531.931662232795</v>
      </c>
      <c r="AJ74" s="194">
        <f t="shared" si="198"/>
        <v>525.0514454765279</v>
      </c>
      <c r="AK74" s="194">
        <f t="shared" si="198"/>
        <v>518.1310941225157</v>
      </c>
      <c r="AL74" s="194">
        <f>AL72</f>
        <v>511.17037405227194</v>
      </c>
      <c r="AM74" s="194">
        <f>AM72</f>
        <v>504.1690497816184</v>
      </c>
      <c r="AN74" s="194">
        <f>AN72</f>
        <v>497.12688445271937</v>
      </c>
      <c r="AO74" s="195">
        <f>SUM(AC74:AN74)</f>
        <v>6421.43665634236</v>
      </c>
      <c r="AP74" s="194">
        <f aca="true" t="shared" si="199" ref="AP74:BA74">AP72</f>
        <v>490.04363982606833</v>
      </c>
      <c r="AQ74" s="194">
        <f t="shared" si="199"/>
        <v>482.9190762724286</v>
      </c>
      <c r="AR74" s="194">
        <f t="shared" si="199"/>
        <v>475.75295276472593</v>
      </c>
      <c r="AS74" s="194">
        <f t="shared" si="199"/>
        <v>468.5450268698949</v>
      </c>
      <c r="AT74" s="194">
        <f t="shared" si="199"/>
        <v>461.2950547406776</v>
      </c>
      <c r="AU74" s="194">
        <f t="shared" si="199"/>
        <v>454.00279110737296</v>
      </c>
      <c r="AV74" s="194">
        <f t="shared" si="199"/>
        <v>446.66798926954084</v>
      </c>
      <c r="AW74" s="194">
        <f t="shared" si="199"/>
        <v>439.29040108765474</v>
      </c>
      <c r="AX74" s="194">
        <f t="shared" si="199"/>
        <v>431.8697769747075</v>
      </c>
      <c r="AY74" s="194">
        <f t="shared" si="199"/>
        <v>424.40586588776813</v>
      </c>
      <c r="AZ74" s="194">
        <f t="shared" si="199"/>
        <v>416.89841531948827</v>
      </c>
      <c r="BA74" s="194">
        <f t="shared" si="199"/>
        <v>409.3471712895601</v>
      </c>
      <c r="BB74" s="195">
        <f>SUM(AP74:BA74)</f>
        <v>5401.038161409888</v>
      </c>
      <c r="BC74" s="194">
        <f aca="true" t="shared" si="200" ref="BC74:BN74">BC72</f>
        <v>401.75187833612404</v>
      </c>
      <c r="BD74" s="194">
        <f t="shared" si="200"/>
        <v>394.1122795071263</v>
      </c>
      <c r="BE74" s="194">
        <f t="shared" si="200"/>
        <v>386.428116351626</v>
      </c>
      <c r="BF74" s="194">
        <f t="shared" si="200"/>
        <v>378.69912891105196</v>
      </c>
      <c r="BG74" s="194">
        <f t="shared" si="200"/>
        <v>370.925055710408</v>
      </c>
      <c r="BH74" s="194">
        <f t="shared" si="200"/>
        <v>363.1056337494269</v>
      </c>
      <c r="BI74" s="194">
        <f t="shared" si="200"/>
        <v>355.24059849367336</v>
      </c>
      <c r="BJ74" s="194">
        <f t="shared" si="200"/>
        <v>347.32968386559463</v>
      </c>
      <c r="BK74" s="194">
        <f t="shared" si="200"/>
        <v>339.37262223551875</v>
      </c>
      <c r="BL74" s="194">
        <f t="shared" si="200"/>
        <v>331.36914441260075</v>
      </c>
      <c r="BM74" s="194">
        <f t="shared" si="200"/>
        <v>323.3189796357158</v>
      </c>
      <c r="BN74" s="194">
        <f t="shared" si="200"/>
        <v>315.22185556429895</v>
      </c>
      <c r="BO74" s="195">
        <f>SUM(BC74:BN74)</f>
        <v>4306.874976773164</v>
      </c>
      <c r="BP74" s="194">
        <f aca="true" t="shared" si="201" ref="BP74:CA74">BP72</f>
        <v>307.0774982691322</v>
      </c>
      <c r="BQ74" s="194">
        <f t="shared" si="201"/>
        <v>298.8856322230769</v>
      </c>
      <c r="BR74" s="194">
        <f t="shared" si="201"/>
        <v>290.64598029175306</v>
      </c>
      <c r="BS74" s="194">
        <f t="shared" si="201"/>
        <v>282.3582637241631</v>
      </c>
      <c r="BT74" s="194">
        <f t="shared" si="201"/>
        <v>274.0222021432623</v>
      </c>
      <c r="BU74" s="194">
        <f t="shared" si="201"/>
        <v>265.6375135364728</v>
      </c>
      <c r="BV74" s="194">
        <f t="shared" si="201"/>
        <v>257.2039142461437</v>
      </c>
      <c r="BW74" s="194">
        <f t="shared" si="201"/>
        <v>248.7211189599544</v>
      </c>
      <c r="BX74" s="194">
        <f t="shared" si="201"/>
        <v>240.1888407012623</v>
      </c>
      <c r="BY74" s="194">
        <f t="shared" si="201"/>
        <v>231.6067908193945</v>
      </c>
      <c r="BZ74" s="194">
        <f t="shared" si="201"/>
        <v>222.97467897988244</v>
      </c>
      <c r="CA74" s="194">
        <f t="shared" si="201"/>
        <v>214.29221315463994</v>
      </c>
      <c r="CB74" s="195">
        <f>SUM(BP74:CA74)</f>
        <v>3133.6146470491376</v>
      </c>
      <c r="CC74" s="194">
        <f aca="true" t="shared" si="202" ref="CC74:CN74">CC72</f>
        <v>205.55909961208351</v>
      </c>
      <c r="CD74" s="194">
        <f t="shared" si="202"/>
        <v>196.77504290719548</v>
      </c>
      <c r="CE74" s="194">
        <f t="shared" si="202"/>
        <v>187.93974587152897</v>
      </c>
      <c r="CF74" s="194">
        <f t="shared" si="202"/>
        <v>179.05290960315438</v>
      </c>
      <c r="CG74" s="194">
        <f t="shared" si="202"/>
        <v>170.11423345654762</v>
      </c>
      <c r="CH74" s="194">
        <f t="shared" si="202"/>
        <v>161.123415032419</v>
      </c>
      <c r="CI74" s="194">
        <f t="shared" si="202"/>
        <v>152.08015016748297</v>
      </c>
      <c r="CJ74" s="194">
        <f t="shared" si="202"/>
        <v>142.9841329241681</v>
      </c>
      <c r="CK74" s="194">
        <f t="shared" si="202"/>
        <v>133.83505558026727</v>
      </c>
      <c r="CL74" s="194">
        <f t="shared" si="202"/>
        <v>124.63260861852699</v>
      </c>
      <c r="CM74" s="194">
        <f t="shared" si="202"/>
        <v>115.37648071617657</v>
      </c>
      <c r="CN74" s="194">
        <f t="shared" si="202"/>
        <v>106.06635873439579</v>
      </c>
      <c r="CO74" s="195">
        <f>SUM(CC74:CN74)</f>
        <v>1875.5392332239467</v>
      </c>
      <c r="CP74" s="194">
        <f aca="true" t="shared" si="203" ref="CP74:DA74">CP72</f>
        <v>96.70192770772127</v>
      </c>
      <c r="CQ74" s="194">
        <f t="shared" si="203"/>
        <v>87.28287083339114</v>
      </c>
      <c r="CR74" s="194">
        <f t="shared" si="203"/>
        <v>77.80886946062743</v>
      </c>
      <c r="CS74" s="194">
        <f t="shared" si="203"/>
        <v>68.27960307985593</v>
      </c>
      <c r="CT74" s="194">
        <f t="shared" si="203"/>
        <v>58.69474931186326</v>
      </c>
      <c r="CU74" s="194">
        <f t="shared" si="203"/>
        <v>49.053983896890635</v>
      </c>
      <c r="CV74" s="194">
        <f t="shared" si="203"/>
        <v>39.356980683664005</v>
      </c>
      <c r="CW74" s="194">
        <f t="shared" si="203"/>
        <v>29.603411618360223</v>
      </c>
      <c r="CX74" s="194">
        <f t="shared" si="203"/>
        <v>19.792946733508828</v>
      </c>
      <c r="CY74" s="194">
        <f t="shared" si="203"/>
        <v>9.925254136829134</v>
      </c>
      <c r="CZ74" s="194">
        <f t="shared" si="203"/>
        <v>2.143375847178201E-12</v>
      </c>
      <c r="DA74" s="194">
        <f t="shared" si="203"/>
        <v>2.143375847178201E-12</v>
      </c>
      <c r="DB74" s="195">
        <f>SUM(CP74:DA74)</f>
        <v>536.5005974627162</v>
      </c>
      <c r="DC74" s="194">
        <f aca="true" t="shared" si="204" ref="DC74:DN74">DC72</f>
        <v>2.143375847178201E-12</v>
      </c>
      <c r="DD74" s="194">
        <f t="shared" si="204"/>
        <v>2.143375847178201E-12</v>
      </c>
      <c r="DE74" s="194">
        <f t="shared" si="204"/>
        <v>2.143375847178201E-12</v>
      </c>
      <c r="DF74" s="194">
        <f t="shared" si="204"/>
        <v>2.143375847178201E-12</v>
      </c>
      <c r="DG74" s="194">
        <f t="shared" si="204"/>
        <v>2.143375847178201E-12</v>
      </c>
      <c r="DH74" s="194">
        <f t="shared" si="204"/>
        <v>2.143375847178201E-12</v>
      </c>
      <c r="DI74" s="194">
        <f t="shared" si="204"/>
        <v>2.143375847178201E-12</v>
      </c>
      <c r="DJ74" s="194">
        <f t="shared" si="204"/>
        <v>2.143375847178201E-12</v>
      </c>
      <c r="DK74" s="194">
        <f t="shared" si="204"/>
        <v>2.143375847178201E-12</v>
      </c>
      <c r="DL74" s="194">
        <f t="shared" si="204"/>
        <v>2.143375847178201E-12</v>
      </c>
      <c r="DM74" s="194">
        <f t="shared" si="204"/>
        <v>2.143375847178201E-12</v>
      </c>
      <c r="DN74" s="194">
        <f t="shared" si="204"/>
        <v>2.143375847178201E-12</v>
      </c>
      <c r="DO74" s="195">
        <f>SUM(DC74:DN74)</f>
        <v>2.5720510166138408E-11</v>
      </c>
    </row>
    <row r="75" spans="1:119" ht="12.75">
      <c r="A75" s="188" t="s">
        <v>16</v>
      </c>
      <c r="B75" s="193">
        <f>DO75</f>
        <v>3.67435859516263E-10</v>
      </c>
      <c r="C75" s="194">
        <f>C70</f>
        <v>0</v>
      </c>
      <c r="D75" s="194">
        <f aca="true" t="shared" si="205" ref="D75:N75">C75+D70-D73+D71</f>
        <v>0</v>
      </c>
      <c r="E75" s="194">
        <f t="shared" si="205"/>
        <v>0</v>
      </c>
      <c r="F75" s="194">
        <f t="shared" si="205"/>
        <v>0</v>
      </c>
      <c r="G75" s="194">
        <f t="shared" si="205"/>
        <v>0</v>
      </c>
      <c r="H75" s="194">
        <f t="shared" si="205"/>
        <v>0</v>
      </c>
      <c r="I75" s="194">
        <f t="shared" si="205"/>
        <v>0</v>
      </c>
      <c r="J75" s="194">
        <f t="shared" si="205"/>
        <v>0</v>
      </c>
      <c r="K75" s="194">
        <f t="shared" si="205"/>
        <v>0</v>
      </c>
      <c r="L75" s="194">
        <f t="shared" si="205"/>
        <v>98545.902</v>
      </c>
      <c r="M75" s="194">
        <f t="shared" si="205"/>
        <v>98545.902</v>
      </c>
      <c r="N75" s="194">
        <f t="shared" si="205"/>
        <v>98545.902</v>
      </c>
      <c r="O75" s="195">
        <f>N75</f>
        <v>98545.902</v>
      </c>
      <c r="P75" s="194">
        <f aca="true" t="shared" si="206" ref="P75:AA75">O75+P70-P73+P71</f>
        <v>98545.902</v>
      </c>
      <c r="Q75" s="194">
        <f t="shared" si="206"/>
        <v>98545.902</v>
      </c>
      <c r="R75" s="194">
        <f t="shared" si="206"/>
        <v>98545.902</v>
      </c>
      <c r="S75" s="194">
        <f t="shared" si="206"/>
        <v>98545.902</v>
      </c>
      <c r="T75" s="194">
        <f t="shared" si="206"/>
        <v>98545.902</v>
      </c>
      <c r="U75" s="194">
        <f t="shared" si="206"/>
        <v>98545.902</v>
      </c>
      <c r="V75" s="194">
        <f t="shared" si="206"/>
        <v>103719.561855</v>
      </c>
      <c r="W75" s="194">
        <f t="shared" si="206"/>
        <v>102613.19524060891</v>
      </c>
      <c r="X75" s="194">
        <f t="shared" si="206"/>
        <v>101500.3748209672</v>
      </c>
      <c r="Y75" s="194">
        <f t="shared" si="206"/>
        <v>100381.06294887757</v>
      </c>
      <c r="Z75" s="194">
        <f t="shared" si="206"/>
        <v>99255.22175753409</v>
      </c>
      <c r="AA75" s="194">
        <f t="shared" si="206"/>
        <v>98122.81315924111</v>
      </c>
      <c r="AB75" s="195">
        <f>AA75</f>
        <v>98122.81315924111</v>
      </c>
      <c r="AC75" s="194">
        <f aca="true" t="shared" si="207" ref="AC75:AN75">AB75+AC70-AC73+AC71</f>
        <v>96983.79884412474</v>
      </c>
      <c r="AD75" s="194">
        <f t="shared" si="207"/>
        <v>95838.14027883687</v>
      </c>
      <c r="AE75" s="194">
        <f t="shared" si="207"/>
        <v>94685.7987052515</v>
      </c>
      <c r="AF75" s="194">
        <f t="shared" si="207"/>
        <v>93526.73513915353</v>
      </c>
      <c r="AG75" s="194">
        <f t="shared" si="207"/>
        <v>92360.91036892</v>
      </c>
      <c r="AH75" s="194">
        <f t="shared" si="207"/>
        <v>91188.28495419343</v>
      </c>
      <c r="AI75" s="194">
        <f t="shared" si="207"/>
        <v>90008.81922454762</v>
      </c>
      <c r="AJ75" s="194">
        <f t="shared" si="207"/>
        <v>88822.47327814555</v>
      </c>
      <c r="AK75" s="194">
        <f t="shared" si="207"/>
        <v>87629.20698038947</v>
      </c>
      <c r="AL75" s="194">
        <f t="shared" si="207"/>
        <v>86428.97996256314</v>
      </c>
      <c r="AM75" s="194">
        <f t="shared" si="207"/>
        <v>85221.75162046617</v>
      </c>
      <c r="AN75" s="194">
        <f t="shared" si="207"/>
        <v>84007.48111304028</v>
      </c>
      <c r="AO75" s="195">
        <f>AN75</f>
        <v>84007.48111304028</v>
      </c>
      <c r="AP75" s="194">
        <f aca="true" t="shared" si="208" ref="AP75:BA75">AO75+AP70-AP73+AP71</f>
        <v>82786.12736098775</v>
      </c>
      <c r="AQ75" s="194">
        <f t="shared" si="208"/>
        <v>81557.64904538158</v>
      </c>
      <c r="AR75" s="194">
        <f t="shared" si="208"/>
        <v>80322.0046062677</v>
      </c>
      <c r="AS75" s="194">
        <f t="shared" si="208"/>
        <v>79079.152241259</v>
      </c>
      <c r="AT75" s="194">
        <f t="shared" si="208"/>
        <v>77829.04990412107</v>
      </c>
      <c r="AU75" s="194">
        <f t="shared" si="208"/>
        <v>76571.65530334985</v>
      </c>
      <c r="AV75" s="194">
        <f t="shared" si="208"/>
        <v>75306.9259007408</v>
      </c>
      <c r="AW75" s="194">
        <f t="shared" si="208"/>
        <v>74034.81890994986</v>
      </c>
      <c r="AX75" s="194">
        <f t="shared" si="208"/>
        <v>72755.29129504596</v>
      </c>
      <c r="AY75" s="194">
        <f t="shared" si="208"/>
        <v>71468.29976905513</v>
      </c>
      <c r="AZ75" s="194">
        <f t="shared" si="208"/>
        <v>70173.80079249601</v>
      </c>
      <c r="BA75" s="194">
        <f t="shared" si="208"/>
        <v>68871.75057190697</v>
      </c>
      <c r="BB75" s="195">
        <f>BA75</f>
        <v>68871.75057190697</v>
      </c>
      <c r="BC75" s="194">
        <f aca="true" t="shared" si="209" ref="BC75:BN75">BB75+BC70-BC73+BC71</f>
        <v>67562.1050583645</v>
      </c>
      <c r="BD75" s="194">
        <f t="shared" si="209"/>
        <v>66244.81994599302</v>
      </c>
      <c r="BE75" s="194">
        <f t="shared" si="209"/>
        <v>64919.85067046605</v>
      </c>
      <c r="BF75" s="194">
        <f t="shared" si="209"/>
        <v>63587.1524074985</v>
      </c>
      <c r="BG75" s="194">
        <f t="shared" si="209"/>
        <v>62246.68007133031</v>
      </c>
      <c r="BH75" s="194">
        <f t="shared" si="209"/>
        <v>60898.38831320114</v>
      </c>
      <c r="BI75" s="194">
        <f t="shared" si="209"/>
        <v>59542.23151981621</v>
      </c>
      <c r="BJ75" s="194">
        <f t="shared" si="209"/>
        <v>58178.163811803206</v>
      </c>
      <c r="BK75" s="194">
        <f t="shared" si="209"/>
        <v>56806.139042160125</v>
      </c>
      <c r="BL75" s="194">
        <f t="shared" si="209"/>
        <v>55426.11079469413</v>
      </c>
      <c r="BM75" s="194">
        <f t="shared" si="209"/>
        <v>54038.032382451245</v>
      </c>
      <c r="BN75" s="194">
        <f t="shared" si="209"/>
        <v>52641.85684613694</v>
      </c>
      <c r="BO75" s="195">
        <f>BN75</f>
        <v>52641.85684613694</v>
      </c>
      <c r="BP75" s="194">
        <f aca="true" t="shared" si="210" ref="BP75:CA75">BO75+BP70-BP73+BP71</f>
        <v>51237.53695252747</v>
      </c>
      <c r="BQ75" s="194">
        <f t="shared" si="210"/>
        <v>49825.02519287195</v>
      </c>
      <c r="BR75" s="194">
        <f t="shared" si="210"/>
        <v>48404.273781285105</v>
      </c>
      <c r="BS75" s="194">
        <f t="shared" si="210"/>
        <v>46975.23465313067</v>
      </c>
      <c r="BT75" s="194">
        <f t="shared" si="210"/>
        <v>45537.85946339533</v>
      </c>
      <c r="BU75" s="194">
        <f t="shared" si="210"/>
        <v>44092.099585053205</v>
      </c>
      <c r="BV75" s="194">
        <f t="shared" si="210"/>
        <v>42637.90610742075</v>
      </c>
      <c r="BW75" s="194">
        <f t="shared" si="210"/>
        <v>41175.229834502104</v>
      </c>
      <c r="BX75" s="194">
        <f t="shared" si="210"/>
        <v>39704.021283324764</v>
      </c>
      <c r="BY75" s="194">
        <f t="shared" si="210"/>
        <v>38224.23068226556</v>
      </c>
      <c r="BZ75" s="194">
        <f t="shared" si="210"/>
        <v>36735.80796936684</v>
      </c>
      <c r="CA75" s="194">
        <f t="shared" si="210"/>
        <v>35238.702790642885</v>
      </c>
      <c r="CB75" s="195">
        <f>CA75</f>
        <v>35238.702790642885</v>
      </c>
      <c r="CC75" s="194">
        <f aca="true" t="shared" si="211" ref="CC75:CN75">CB75+CC70-CC73+CC71</f>
        <v>33732.864498376366</v>
      </c>
      <c r="CD75" s="194">
        <f t="shared" si="211"/>
        <v>32218.242149404963</v>
      </c>
      <c r="CE75" s="194">
        <f t="shared" si="211"/>
        <v>30694.784503397892</v>
      </c>
      <c r="CF75" s="194">
        <f t="shared" si="211"/>
        <v>29162.44002112245</v>
      </c>
      <c r="CG75" s="194">
        <f t="shared" si="211"/>
        <v>27621.156862700398</v>
      </c>
      <c r="CH75" s="194">
        <f t="shared" si="211"/>
        <v>26070.88288585422</v>
      </c>
      <c r="CI75" s="194">
        <f t="shared" si="211"/>
        <v>24511.565644143102</v>
      </c>
      <c r="CJ75" s="194">
        <f t="shared" si="211"/>
        <v>22943.15238518867</v>
      </c>
      <c r="CK75" s="194">
        <f t="shared" si="211"/>
        <v>21365.59004889034</v>
      </c>
      <c r="CL75" s="194">
        <f t="shared" si="211"/>
        <v>19778.82526563027</v>
      </c>
      <c r="CM75" s="194">
        <f t="shared" si="211"/>
        <v>18182.804354467848</v>
      </c>
      <c r="CN75" s="194">
        <f t="shared" si="211"/>
        <v>16577.473321323643</v>
      </c>
      <c r="CO75" s="195">
        <f>CN75</f>
        <v>16577.473321323643</v>
      </c>
      <c r="CP75" s="194">
        <f aca="true" t="shared" si="212" ref="CP75:DA75">CO75+CP70-CP73+CP71</f>
        <v>14962.777857152765</v>
      </c>
      <c r="CQ75" s="194">
        <f t="shared" si="212"/>
        <v>13338.663336107558</v>
      </c>
      <c r="CR75" s="194">
        <f t="shared" si="212"/>
        <v>11705.074813689587</v>
      </c>
      <c r="CS75" s="194">
        <f t="shared" si="212"/>
        <v>10061.957024890844</v>
      </c>
      <c r="CT75" s="194">
        <f t="shared" si="212"/>
        <v>8409.254382324109</v>
      </c>
      <c r="CU75" s="194">
        <f t="shared" si="212"/>
        <v>6746.910974342401</v>
      </c>
      <c r="CV75" s="194">
        <f t="shared" si="212"/>
        <v>5074.870563147466</v>
      </c>
      <c r="CW75" s="194">
        <f t="shared" si="212"/>
        <v>3393.0765828872272</v>
      </c>
      <c r="CX75" s="194">
        <f t="shared" si="212"/>
        <v>1701.4721377421372</v>
      </c>
      <c r="CY75" s="194">
        <f t="shared" si="212"/>
        <v>3.67435859516263E-10</v>
      </c>
      <c r="CZ75" s="194">
        <f t="shared" si="212"/>
        <v>3.67435859516263E-10</v>
      </c>
      <c r="DA75" s="194">
        <f t="shared" si="212"/>
        <v>3.67435859516263E-10</v>
      </c>
      <c r="DB75" s="195">
        <f>DA75</f>
        <v>3.67435859516263E-10</v>
      </c>
      <c r="DC75" s="194">
        <f aca="true" t="shared" si="213" ref="DC75:DN75">DB75+DC70-DC73+DC71</f>
        <v>3.67435859516263E-10</v>
      </c>
      <c r="DD75" s="194">
        <f t="shared" si="213"/>
        <v>3.67435859516263E-10</v>
      </c>
      <c r="DE75" s="194">
        <f t="shared" si="213"/>
        <v>3.67435859516263E-10</v>
      </c>
      <c r="DF75" s="194">
        <f t="shared" si="213"/>
        <v>3.67435859516263E-10</v>
      </c>
      <c r="DG75" s="194">
        <f t="shared" si="213"/>
        <v>3.67435859516263E-10</v>
      </c>
      <c r="DH75" s="194">
        <f t="shared" si="213"/>
        <v>3.67435859516263E-10</v>
      </c>
      <c r="DI75" s="194">
        <f t="shared" si="213"/>
        <v>3.67435859516263E-10</v>
      </c>
      <c r="DJ75" s="194">
        <f t="shared" si="213"/>
        <v>3.67435859516263E-10</v>
      </c>
      <c r="DK75" s="194">
        <f t="shared" si="213"/>
        <v>3.67435859516263E-10</v>
      </c>
      <c r="DL75" s="194">
        <f t="shared" si="213"/>
        <v>3.67435859516263E-10</v>
      </c>
      <c r="DM75" s="194">
        <f t="shared" si="213"/>
        <v>3.67435859516263E-10</v>
      </c>
      <c r="DN75" s="194">
        <f t="shared" si="213"/>
        <v>3.67435859516263E-10</v>
      </c>
      <c r="DO75" s="195">
        <f>DN75</f>
        <v>3.67435859516263E-10</v>
      </c>
    </row>
    <row r="76" spans="1:119" ht="12.75">
      <c r="A76" s="177" t="s">
        <v>78</v>
      </c>
      <c r="B76" s="285">
        <f>Исх!$C$49*12-Исх!$C$50</f>
        <v>75</v>
      </c>
      <c r="CP76" s="180"/>
      <c r="DB76" s="177"/>
      <c r="DO76" s="177"/>
    </row>
    <row r="77" spans="1:119" ht="12.75">
      <c r="A77" s="288" t="s">
        <v>258</v>
      </c>
      <c r="B77" s="289">
        <f>$V$75*$B$20/12/((1-(1+$B$20/12)^-$B76))</f>
        <v>1711.397391878599</v>
      </c>
      <c r="DB77" s="177"/>
      <c r="DO77" s="177"/>
    </row>
    <row r="78" spans="1:119" ht="6" customHeight="1">
      <c r="A78" s="286"/>
      <c r="B78" s="283"/>
      <c r="DB78" s="177"/>
      <c r="DO78" s="177"/>
    </row>
    <row r="79" spans="1:119" ht="12.75">
      <c r="A79" s="271" t="s">
        <v>244</v>
      </c>
      <c r="DB79" s="177"/>
      <c r="DO79" s="177"/>
    </row>
    <row r="80" spans="1:119" ht="12.75" hidden="1" outlineLevel="1">
      <c r="A80" s="272">
        <f>B70+B71-B73</f>
        <v>3.92901711165905E-10</v>
      </c>
      <c r="DB80" s="177"/>
      <c r="DO80" s="177"/>
    </row>
    <row r="81" spans="1:119" ht="12.75" hidden="1" outlineLevel="1">
      <c r="A81" s="272">
        <f>B72-B71-B74</f>
        <v>0</v>
      </c>
      <c r="DB81" s="177"/>
      <c r="DO81" s="177"/>
    </row>
    <row r="82" ht="12.75" collapsed="1"/>
    <row r="83" spans="1:119" ht="12.75">
      <c r="A83" s="297" t="s">
        <v>284</v>
      </c>
      <c r="B83" s="298"/>
      <c r="DB83" s="177"/>
      <c r="DO83" s="177"/>
    </row>
    <row r="84" spans="1:119" ht="15.75" customHeight="1">
      <c r="A84" s="186" t="s">
        <v>11</v>
      </c>
      <c r="B84" s="287">
        <f>Исх!$C$48</f>
        <v>0.07</v>
      </c>
      <c r="C84" s="363">
        <v>2013</v>
      </c>
      <c r="D84" s="363"/>
      <c r="E84" s="363"/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>
        <v>2014</v>
      </c>
      <c r="Q84" s="363"/>
      <c r="R84" s="363"/>
      <c r="S84" s="363"/>
      <c r="T84" s="363"/>
      <c r="U84" s="363"/>
      <c r="V84" s="363"/>
      <c r="W84" s="363"/>
      <c r="X84" s="363"/>
      <c r="Y84" s="363"/>
      <c r="Z84" s="363"/>
      <c r="AA84" s="363"/>
      <c r="AB84" s="363"/>
      <c r="AC84" s="363">
        <v>2015</v>
      </c>
      <c r="AD84" s="363"/>
      <c r="AE84" s="363"/>
      <c r="AF84" s="363"/>
      <c r="AG84" s="363"/>
      <c r="AH84" s="363"/>
      <c r="AI84" s="363"/>
      <c r="AJ84" s="363"/>
      <c r="AK84" s="363"/>
      <c r="AL84" s="363"/>
      <c r="AM84" s="363"/>
      <c r="AN84" s="363"/>
      <c r="AO84" s="363"/>
      <c r="AP84" s="363">
        <v>2016</v>
      </c>
      <c r="AQ84" s="363"/>
      <c r="AR84" s="363"/>
      <c r="AS84" s="363"/>
      <c r="AT84" s="363"/>
      <c r="AU84" s="363"/>
      <c r="AV84" s="363"/>
      <c r="AW84" s="363"/>
      <c r="AX84" s="363"/>
      <c r="AY84" s="363"/>
      <c r="AZ84" s="363"/>
      <c r="BA84" s="363"/>
      <c r="BB84" s="363"/>
      <c r="BC84" s="363">
        <v>2017</v>
      </c>
      <c r="BD84" s="363"/>
      <c r="BE84" s="363"/>
      <c r="BF84" s="363"/>
      <c r="BG84" s="363"/>
      <c r="BH84" s="363"/>
      <c r="BI84" s="363"/>
      <c r="BJ84" s="363"/>
      <c r="BK84" s="363"/>
      <c r="BL84" s="363"/>
      <c r="BM84" s="363"/>
      <c r="BN84" s="363"/>
      <c r="BO84" s="363"/>
      <c r="BP84" s="363">
        <v>2018</v>
      </c>
      <c r="BQ84" s="363"/>
      <c r="BR84" s="363"/>
      <c r="BS84" s="363"/>
      <c r="BT84" s="363"/>
      <c r="BU84" s="363"/>
      <c r="BV84" s="363"/>
      <c r="BW84" s="363"/>
      <c r="BX84" s="363"/>
      <c r="BY84" s="363"/>
      <c r="BZ84" s="363"/>
      <c r="CA84" s="363"/>
      <c r="CB84" s="363"/>
      <c r="CC84" s="363">
        <v>2019</v>
      </c>
      <c r="CD84" s="363"/>
      <c r="CE84" s="363"/>
      <c r="CF84" s="363"/>
      <c r="CG84" s="363"/>
      <c r="CH84" s="363"/>
      <c r="CI84" s="363"/>
      <c r="CJ84" s="363"/>
      <c r="CK84" s="363"/>
      <c r="CL84" s="363"/>
      <c r="CM84" s="363"/>
      <c r="CN84" s="363"/>
      <c r="CO84" s="363"/>
      <c r="CP84" s="363">
        <v>2020</v>
      </c>
      <c r="CQ84" s="363"/>
      <c r="CR84" s="363"/>
      <c r="CS84" s="363"/>
      <c r="CT84" s="363"/>
      <c r="CU84" s="363"/>
      <c r="CV84" s="363"/>
      <c r="CW84" s="363"/>
      <c r="CX84" s="363"/>
      <c r="CY84" s="363"/>
      <c r="CZ84" s="363"/>
      <c r="DA84" s="363"/>
      <c r="DB84" s="363"/>
      <c r="DC84" s="363">
        <v>2021</v>
      </c>
      <c r="DD84" s="363"/>
      <c r="DE84" s="363"/>
      <c r="DF84" s="363"/>
      <c r="DG84" s="363"/>
      <c r="DH84" s="363"/>
      <c r="DI84" s="363"/>
      <c r="DJ84" s="363"/>
      <c r="DK84" s="363"/>
      <c r="DL84" s="363"/>
      <c r="DM84" s="363"/>
      <c r="DN84" s="363"/>
      <c r="DO84" s="363"/>
    </row>
    <row r="85" spans="1:119" s="192" customFormat="1" ht="15" customHeight="1">
      <c r="A85" s="188" t="s">
        <v>9</v>
      </c>
      <c r="B85" s="189" t="s">
        <v>89</v>
      </c>
      <c r="C85" s="190">
        <v>1</v>
      </c>
      <c r="D85" s="190">
        <v>2</v>
      </c>
      <c r="E85" s="190">
        <f aca="true" t="shared" si="214" ref="E85:N85">D85+1</f>
        <v>3</v>
      </c>
      <c r="F85" s="190">
        <f t="shared" si="214"/>
        <v>4</v>
      </c>
      <c r="G85" s="190">
        <f t="shared" si="214"/>
        <v>5</v>
      </c>
      <c r="H85" s="190">
        <f t="shared" si="214"/>
        <v>6</v>
      </c>
      <c r="I85" s="190">
        <f t="shared" si="214"/>
        <v>7</v>
      </c>
      <c r="J85" s="190">
        <f t="shared" si="214"/>
        <v>8</v>
      </c>
      <c r="K85" s="190">
        <f t="shared" si="214"/>
        <v>9</v>
      </c>
      <c r="L85" s="190">
        <f t="shared" si="214"/>
        <v>10</v>
      </c>
      <c r="M85" s="190">
        <f t="shared" si="214"/>
        <v>11</v>
      </c>
      <c r="N85" s="190">
        <f t="shared" si="214"/>
        <v>12</v>
      </c>
      <c r="O85" s="191" t="str">
        <f>O69</f>
        <v>Итого</v>
      </c>
      <c r="P85" s="190">
        <v>1</v>
      </c>
      <c r="Q85" s="190">
        <v>2</v>
      </c>
      <c r="R85" s="190">
        <f aca="true" t="shared" si="215" ref="R85:AA85">Q85+1</f>
        <v>3</v>
      </c>
      <c r="S85" s="190">
        <f t="shared" si="215"/>
        <v>4</v>
      </c>
      <c r="T85" s="190">
        <f t="shared" si="215"/>
        <v>5</v>
      </c>
      <c r="U85" s="190">
        <f t="shared" si="215"/>
        <v>6</v>
      </c>
      <c r="V85" s="190">
        <f t="shared" si="215"/>
        <v>7</v>
      </c>
      <c r="W85" s="190">
        <f t="shared" si="215"/>
        <v>8</v>
      </c>
      <c r="X85" s="190">
        <f t="shared" si="215"/>
        <v>9</v>
      </c>
      <c r="Y85" s="190">
        <f t="shared" si="215"/>
        <v>10</v>
      </c>
      <c r="Z85" s="190">
        <f t="shared" si="215"/>
        <v>11</v>
      </c>
      <c r="AA85" s="190">
        <f t="shared" si="215"/>
        <v>12</v>
      </c>
      <c r="AB85" s="191" t="str">
        <f>AB69</f>
        <v>Итого</v>
      </c>
      <c r="AC85" s="190">
        <v>1</v>
      </c>
      <c r="AD85" s="190">
        <v>2</v>
      </c>
      <c r="AE85" s="190">
        <f aca="true" t="shared" si="216" ref="AE85:AN85">AD85+1</f>
        <v>3</v>
      </c>
      <c r="AF85" s="190">
        <f t="shared" si="216"/>
        <v>4</v>
      </c>
      <c r="AG85" s="190">
        <f t="shared" si="216"/>
        <v>5</v>
      </c>
      <c r="AH85" s="190">
        <f t="shared" si="216"/>
        <v>6</v>
      </c>
      <c r="AI85" s="190">
        <f t="shared" si="216"/>
        <v>7</v>
      </c>
      <c r="AJ85" s="190">
        <f t="shared" si="216"/>
        <v>8</v>
      </c>
      <c r="AK85" s="190">
        <f t="shared" si="216"/>
        <v>9</v>
      </c>
      <c r="AL85" s="190">
        <f t="shared" si="216"/>
        <v>10</v>
      </c>
      <c r="AM85" s="190">
        <f t="shared" si="216"/>
        <v>11</v>
      </c>
      <c r="AN85" s="190">
        <f t="shared" si="216"/>
        <v>12</v>
      </c>
      <c r="AO85" s="191" t="str">
        <f>AO69</f>
        <v>Итого</v>
      </c>
      <c r="AP85" s="190">
        <v>1</v>
      </c>
      <c r="AQ85" s="190">
        <v>2</v>
      </c>
      <c r="AR85" s="190">
        <f aca="true" t="shared" si="217" ref="AR85:BA85">AQ85+1</f>
        <v>3</v>
      </c>
      <c r="AS85" s="190">
        <f t="shared" si="217"/>
        <v>4</v>
      </c>
      <c r="AT85" s="190">
        <f t="shared" si="217"/>
        <v>5</v>
      </c>
      <c r="AU85" s="190">
        <f t="shared" si="217"/>
        <v>6</v>
      </c>
      <c r="AV85" s="190">
        <f t="shared" si="217"/>
        <v>7</v>
      </c>
      <c r="AW85" s="190">
        <f t="shared" si="217"/>
        <v>8</v>
      </c>
      <c r="AX85" s="190">
        <f t="shared" si="217"/>
        <v>9</v>
      </c>
      <c r="AY85" s="190">
        <f t="shared" si="217"/>
        <v>10</v>
      </c>
      <c r="AZ85" s="190">
        <f t="shared" si="217"/>
        <v>11</v>
      </c>
      <c r="BA85" s="190">
        <f t="shared" si="217"/>
        <v>12</v>
      </c>
      <c r="BB85" s="191" t="str">
        <f>BB69</f>
        <v>Итого</v>
      </c>
      <c r="BC85" s="190">
        <v>1</v>
      </c>
      <c r="BD85" s="190">
        <v>2</v>
      </c>
      <c r="BE85" s="190">
        <f aca="true" t="shared" si="218" ref="BE85:BN85">BD85+1</f>
        <v>3</v>
      </c>
      <c r="BF85" s="190">
        <f t="shared" si="218"/>
        <v>4</v>
      </c>
      <c r="BG85" s="190">
        <f t="shared" si="218"/>
        <v>5</v>
      </c>
      <c r="BH85" s="190">
        <f t="shared" si="218"/>
        <v>6</v>
      </c>
      <c r="BI85" s="190">
        <f t="shared" si="218"/>
        <v>7</v>
      </c>
      <c r="BJ85" s="190">
        <f t="shared" si="218"/>
        <v>8</v>
      </c>
      <c r="BK85" s="190">
        <f t="shared" si="218"/>
        <v>9</v>
      </c>
      <c r="BL85" s="190">
        <f t="shared" si="218"/>
        <v>10</v>
      </c>
      <c r="BM85" s="190">
        <f t="shared" si="218"/>
        <v>11</v>
      </c>
      <c r="BN85" s="190">
        <f t="shared" si="218"/>
        <v>12</v>
      </c>
      <c r="BO85" s="191" t="str">
        <f>BO69</f>
        <v>Итого</v>
      </c>
      <c r="BP85" s="190">
        <v>1</v>
      </c>
      <c r="BQ85" s="190">
        <v>2</v>
      </c>
      <c r="BR85" s="190">
        <f aca="true" t="shared" si="219" ref="BR85:CA85">BQ85+1</f>
        <v>3</v>
      </c>
      <c r="BS85" s="190">
        <f t="shared" si="219"/>
        <v>4</v>
      </c>
      <c r="BT85" s="190">
        <f t="shared" si="219"/>
        <v>5</v>
      </c>
      <c r="BU85" s="190">
        <f t="shared" si="219"/>
        <v>6</v>
      </c>
      <c r="BV85" s="190">
        <f t="shared" si="219"/>
        <v>7</v>
      </c>
      <c r="BW85" s="190">
        <f t="shared" si="219"/>
        <v>8</v>
      </c>
      <c r="BX85" s="190">
        <f t="shared" si="219"/>
        <v>9</v>
      </c>
      <c r="BY85" s="190">
        <f t="shared" si="219"/>
        <v>10</v>
      </c>
      <c r="BZ85" s="190">
        <f t="shared" si="219"/>
        <v>11</v>
      </c>
      <c r="CA85" s="190">
        <f t="shared" si="219"/>
        <v>12</v>
      </c>
      <c r="CB85" s="191" t="str">
        <f>CB69</f>
        <v>Итого</v>
      </c>
      <c r="CC85" s="190">
        <v>1</v>
      </c>
      <c r="CD85" s="190">
        <v>2</v>
      </c>
      <c r="CE85" s="190">
        <f aca="true" t="shared" si="220" ref="CE85:CN85">CD85+1</f>
        <v>3</v>
      </c>
      <c r="CF85" s="190">
        <f t="shared" si="220"/>
        <v>4</v>
      </c>
      <c r="CG85" s="190">
        <f t="shared" si="220"/>
        <v>5</v>
      </c>
      <c r="CH85" s="190">
        <f t="shared" si="220"/>
        <v>6</v>
      </c>
      <c r="CI85" s="190">
        <f t="shared" si="220"/>
        <v>7</v>
      </c>
      <c r="CJ85" s="190">
        <f t="shared" si="220"/>
        <v>8</v>
      </c>
      <c r="CK85" s="190">
        <f t="shared" si="220"/>
        <v>9</v>
      </c>
      <c r="CL85" s="190">
        <f t="shared" si="220"/>
        <v>10</v>
      </c>
      <c r="CM85" s="190">
        <f t="shared" si="220"/>
        <v>11</v>
      </c>
      <c r="CN85" s="190">
        <f t="shared" si="220"/>
        <v>12</v>
      </c>
      <c r="CO85" s="191" t="str">
        <f>CO69</f>
        <v>Итого</v>
      </c>
      <c r="CP85" s="190">
        <v>1</v>
      </c>
      <c r="CQ85" s="190">
        <f aca="true" t="shared" si="221" ref="CQ85:DA85">CP85+1</f>
        <v>2</v>
      </c>
      <c r="CR85" s="190">
        <f t="shared" si="221"/>
        <v>3</v>
      </c>
      <c r="CS85" s="190">
        <f t="shared" si="221"/>
        <v>4</v>
      </c>
      <c r="CT85" s="190">
        <f t="shared" si="221"/>
        <v>5</v>
      </c>
      <c r="CU85" s="190">
        <f t="shared" si="221"/>
        <v>6</v>
      </c>
      <c r="CV85" s="190">
        <f t="shared" si="221"/>
        <v>7</v>
      </c>
      <c r="CW85" s="190">
        <f t="shared" si="221"/>
        <v>8</v>
      </c>
      <c r="CX85" s="190">
        <f t="shared" si="221"/>
        <v>9</v>
      </c>
      <c r="CY85" s="190">
        <f t="shared" si="221"/>
        <v>10</v>
      </c>
      <c r="CZ85" s="190">
        <f t="shared" si="221"/>
        <v>11</v>
      </c>
      <c r="DA85" s="190">
        <f t="shared" si="221"/>
        <v>12</v>
      </c>
      <c r="DB85" s="191" t="str">
        <f>DB69</f>
        <v>Итого</v>
      </c>
      <c r="DC85" s="190">
        <v>1</v>
      </c>
      <c r="DD85" s="190">
        <f aca="true" t="shared" si="222" ref="DD85:DN85">DC85+1</f>
        <v>2</v>
      </c>
      <c r="DE85" s="190">
        <f t="shared" si="222"/>
        <v>3</v>
      </c>
      <c r="DF85" s="190">
        <f t="shared" si="222"/>
        <v>4</v>
      </c>
      <c r="DG85" s="190">
        <f t="shared" si="222"/>
        <v>5</v>
      </c>
      <c r="DH85" s="190">
        <f t="shared" si="222"/>
        <v>6</v>
      </c>
      <c r="DI85" s="190">
        <f t="shared" si="222"/>
        <v>7</v>
      </c>
      <c r="DJ85" s="190">
        <f t="shared" si="222"/>
        <v>8</v>
      </c>
      <c r="DK85" s="190">
        <f t="shared" si="222"/>
        <v>9</v>
      </c>
      <c r="DL85" s="190">
        <f t="shared" si="222"/>
        <v>10</v>
      </c>
      <c r="DM85" s="190">
        <f t="shared" si="222"/>
        <v>11</v>
      </c>
      <c r="DN85" s="190">
        <f t="shared" si="222"/>
        <v>12</v>
      </c>
      <c r="DO85" s="191" t="s">
        <v>0</v>
      </c>
    </row>
    <row r="86" spans="1:119" ht="12.75">
      <c r="A86" s="188" t="s">
        <v>106</v>
      </c>
      <c r="B86" s="193">
        <f>O86+AB86+AO86+BB86+BO86+CB86+CO86+DB86+DO86</f>
        <v>60299.2108</v>
      </c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>
        <f>'1-Ф3'!N$28</f>
        <v>60299.2108</v>
      </c>
      <c r="N86" s="194"/>
      <c r="O86" s="195">
        <f>SUM(C86:N86)</f>
        <v>60299.2108</v>
      </c>
      <c r="P86" s="194"/>
      <c r="Q86" s="194"/>
      <c r="R86" s="194">
        <f>'1-Ф3'!S$28</f>
        <v>0</v>
      </c>
      <c r="S86" s="194"/>
      <c r="T86" s="194"/>
      <c r="U86" s="194"/>
      <c r="V86" s="194"/>
      <c r="W86" s="194"/>
      <c r="X86" s="194"/>
      <c r="Y86" s="194"/>
      <c r="Z86" s="194"/>
      <c r="AA86" s="194"/>
      <c r="AB86" s="194">
        <f>SUM(P86:AA86)</f>
        <v>0</v>
      </c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>
        <f>SUM(AC86:AN86)</f>
        <v>0</v>
      </c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</row>
    <row r="87" spans="1:119" s="197" customFormat="1" ht="20.25" customHeight="1">
      <c r="A87" s="188" t="s">
        <v>31</v>
      </c>
      <c r="B87" s="193">
        <f>O87+AB87+AO87+BB87+BO87+CB87+CO87+DB87+DO87</f>
        <v>3165.708567</v>
      </c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5">
        <f>SUM(C87:N87)</f>
        <v>0</v>
      </c>
      <c r="P87" s="194"/>
      <c r="Q87" s="194"/>
      <c r="R87" s="194"/>
      <c r="S87" s="194"/>
      <c r="T87" s="194"/>
      <c r="U87" s="194"/>
      <c r="V87" s="194"/>
      <c r="W87" s="194">
        <f>SUM(O88:W88)</f>
        <v>3165.708567</v>
      </c>
      <c r="X87" s="194"/>
      <c r="Y87" s="194"/>
      <c r="Z87" s="194"/>
      <c r="AA87" s="194"/>
      <c r="AB87" s="195">
        <f>SUM(P87:AA87)</f>
        <v>3165.708567</v>
      </c>
      <c r="AC87" s="194"/>
      <c r="AD87" s="194"/>
      <c r="AE87" s="194"/>
      <c r="AF87" s="194"/>
      <c r="AG87" s="194"/>
      <c r="AH87" s="194"/>
      <c r="AI87" s="194"/>
      <c r="AJ87" s="194"/>
      <c r="AK87" s="194"/>
      <c r="AL87" s="194"/>
      <c r="AM87" s="194"/>
      <c r="AN87" s="194"/>
      <c r="AO87" s="195">
        <f>SUM(AC87:AN87)</f>
        <v>0</v>
      </c>
      <c r="AP87" s="194"/>
      <c r="AQ87" s="194"/>
      <c r="AR87" s="194"/>
      <c r="AS87" s="194"/>
      <c r="AT87" s="194"/>
      <c r="AU87" s="194"/>
      <c r="AV87" s="194"/>
      <c r="AW87" s="194"/>
      <c r="AX87" s="194"/>
      <c r="AY87" s="194"/>
      <c r="AZ87" s="194"/>
      <c r="BA87" s="194"/>
      <c r="BB87" s="195">
        <f>SUM(AP87:BA87)</f>
        <v>0</v>
      </c>
      <c r="BC87" s="194"/>
      <c r="BD87" s="194"/>
      <c r="BE87" s="194"/>
      <c r="BF87" s="194"/>
      <c r="BG87" s="194"/>
      <c r="BH87" s="194"/>
      <c r="BI87" s="194"/>
      <c r="BJ87" s="194"/>
      <c r="BK87" s="194"/>
      <c r="BL87" s="194"/>
      <c r="BM87" s="194"/>
      <c r="BN87" s="194"/>
      <c r="BO87" s="195">
        <f>SUM(BC87:BN87)</f>
        <v>0</v>
      </c>
      <c r="BP87" s="194"/>
      <c r="BQ87" s="194"/>
      <c r="BR87" s="194"/>
      <c r="BS87" s="194"/>
      <c r="BT87" s="194"/>
      <c r="BU87" s="194"/>
      <c r="BV87" s="194"/>
      <c r="BW87" s="194"/>
      <c r="BX87" s="194"/>
      <c r="BY87" s="194"/>
      <c r="BZ87" s="194"/>
      <c r="CA87" s="194"/>
      <c r="CB87" s="195">
        <f>SUM(BP87:CA87)</f>
        <v>0</v>
      </c>
      <c r="CC87" s="194"/>
      <c r="CD87" s="194"/>
      <c r="CE87" s="194"/>
      <c r="CF87" s="194"/>
      <c r="CG87" s="194"/>
      <c r="CH87" s="194"/>
      <c r="CI87" s="194"/>
      <c r="CJ87" s="194"/>
      <c r="CK87" s="194"/>
      <c r="CL87" s="194"/>
      <c r="CM87" s="194"/>
      <c r="CN87" s="194"/>
      <c r="CO87" s="195">
        <f>SUM(CC87:CN87)</f>
        <v>0</v>
      </c>
      <c r="CP87" s="194"/>
      <c r="CQ87" s="194"/>
      <c r="CR87" s="194"/>
      <c r="CS87" s="194"/>
      <c r="CT87" s="194"/>
      <c r="CU87" s="194"/>
      <c r="CV87" s="194"/>
      <c r="CW87" s="194"/>
      <c r="CX87" s="194"/>
      <c r="CY87" s="194"/>
      <c r="CZ87" s="194"/>
      <c r="DA87" s="194"/>
      <c r="DB87" s="195">
        <f>SUM(CP87:DA87)</f>
        <v>0</v>
      </c>
      <c r="DC87" s="194"/>
      <c r="DD87" s="194"/>
      <c r="DE87" s="194"/>
      <c r="DF87" s="194"/>
      <c r="DG87" s="194"/>
      <c r="DH87" s="194"/>
      <c r="DI87" s="194"/>
      <c r="DJ87" s="194"/>
      <c r="DK87" s="194"/>
      <c r="DL87" s="194"/>
      <c r="DM87" s="194"/>
      <c r="DN87" s="194"/>
      <c r="DO87" s="195">
        <f>SUM(DC87:DN87)</f>
        <v>0</v>
      </c>
    </row>
    <row r="88" spans="1:119" s="197" customFormat="1" ht="12.75">
      <c r="A88" s="198" t="s">
        <v>13</v>
      </c>
      <c r="B88" s="193">
        <f>O88+AB88+AO88+BB88+BO88+CB88+CO88+DB88+DO88</f>
        <v>18239.75682910916</v>
      </c>
      <c r="C88" s="194"/>
      <c r="D88" s="194">
        <f aca="true" t="shared" si="223" ref="D88:N88">C91*$B84/12</f>
        <v>0</v>
      </c>
      <c r="E88" s="194">
        <f t="shared" si="223"/>
        <v>0</v>
      </c>
      <c r="F88" s="194">
        <f t="shared" si="223"/>
        <v>0</v>
      </c>
      <c r="G88" s="194">
        <f t="shared" si="223"/>
        <v>0</v>
      </c>
      <c r="H88" s="194">
        <f t="shared" si="223"/>
        <v>0</v>
      </c>
      <c r="I88" s="194">
        <f t="shared" si="223"/>
        <v>0</v>
      </c>
      <c r="J88" s="194">
        <f t="shared" si="223"/>
        <v>0</v>
      </c>
      <c r="K88" s="194">
        <f t="shared" si="223"/>
        <v>0</v>
      </c>
      <c r="L88" s="194">
        <f t="shared" si="223"/>
        <v>0</v>
      </c>
      <c r="M88" s="194">
        <f t="shared" si="223"/>
        <v>0</v>
      </c>
      <c r="N88" s="194">
        <f t="shared" si="223"/>
        <v>351.7453963333334</v>
      </c>
      <c r="O88" s="195">
        <f>SUM(C88:N88)</f>
        <v>351.7453963333334</v>
      </c>
      <c r="P88" s="194">
        <f aca="true" t="shared" si="224" ref="P88:AA88">O91*$B84/12</f>
        <v>351.7453963333334</v>
      </c>
      <c r="Q88" s="194">
        <f t="shared" si="224"/>
        <v>351.7453963333334</v>
      </c>
      <c r="R88" s="194">
        <f t="shared" si="224"/>
        <v>351.7453963333334</v>
      </c>
      <c r="S88" s="194">
        <f t="shared" si="224"/>
        <v>351.7453963333334</v>
      </c>
      <c r="T88" s="194">
        <f t="shared" si="224"/>
        <v>351.7453963333334</v>
      </c>
      <c r="U88" s="194">
        <f t="shared" si="224"/>
        <v>351.7453963333334</v>
      </c>
      <c r="V88" s="194">
        <f t="shared" si="224"/>
        <v>351.7453963333334</v>
      </c>
      <c r="W88" s="194">
        <f t="shared" si="224"/>
        <v>351.7453963333334</v>
      </c>
      <c r="X88" s="194">
        <f t="shared" si="224"/>
        <v>370.2120296408334</v>
      </c>
      <c r="Y88" s="194">
        <f t="shared" si="224"/>
        <v>366.26301344258536</v>
      </c>
      <c r="Z88" s="194">
        <f t="shared" si="224"/>
        <v>362.29096131651414</v>
      </c>
      <c r="AA88" s="194">
        <f t="shared" si="224"/>
        <v>358.2957388863743</v>
      </c>
      <c r="AB88" s="195">
        <f>SUM(P88:AA88)</f>
        <v>4271.024913952974</v>
      </c>
      <c r="AC88" s="194">
        <f aca="true" t="shared" si="225" ref="AC88:AN88">AB91*$B84/12</f>
        <v>354.27721099205854</v>
      </c>
      <c r="AD88" s="194">
        <f t="shared" si="225"/>
        <v>350.235241685026</v>
      </c>
      <c r="AE88" s="194">
        <f t="shared" si="225"/>
        <v>346.1696942237024</v>
      </c>
      <c r="AF88" s="194">
        <f t="shared" si="225"/>
        <v>342.08043106885435</v>
      </c>
      <c r="AG88" s="194">
        <f t="shared" si="225"/>
        <v>337.9673138789364</v>
      </c>
      <c r="AH88" s="194">
        <f t="shared" si="225"/>
        <v>333.8302035054106</v>
      </c>
      <c r="AI88" s="194">
        <f t="shared" si="225"/>
        <v>329.66895998803926</v>
      </c>
      <c r="AJ88" s="194">
        <f t="shared" si="225"/>
        <v>325.4834425501499</v>
      </c>
      <c r="AK88" s="194">
        <f t="shared" si="225"/>
        <v>321.27350959387286</v>
      </c>
      <c r="AL88" s="194">
        <f t="shared" si="225"/>
        <v>317.0390186953509</v>
      </c>
      <c r="AM88" s="194">
        <f t="shared" si="225"/>
        <v>312.7798265999208</v>
      </c>
      <c r="AN88" s="194">
        <f t="shared" si="225"/>
        <v>308.49578921726743</v>
      </c>
      <c r="AO88" s="195">
        <f>SUM(AC88:AN88)</f>
        <v>3979.3006419985895</v>
      </c>
      <c r="AP88" s="194">
        <f aca="true" t="shared" si="226" ref="AP88:BA88">AO91*$B84/12</f>
        <v>304.18676161654855</v>
      </c>
      <c r="AQ88" s="194">
        <f t="shared" si="226"/>
        <v>299.85259802149216</v>
      </c>
      <c r="AR88" s="194">
        <f t="shared" si="226"/>
        <v>295.49315180546466</v>
      </c>
      <c r="AS88" s="194">
        <f t="shared" si="226"/>
        <v>291.1082754865103</v>
      </c>
      <c r="AT88" s="194">
        <f t="shared" si="226"/>
        <v>286.697820722362</v>
      </c>
      <c r="AU88" s="194">
        <f t="shared" si="226"/>
        <v>282.2616383054229</v>
      </c>
      <c r="AV88" s="194">
        <f t="shared" si="226"/>
        <v>277.79957815771826</v>
      </c>
      <c r="AW88" s="194">
        <f t="shared" si="226"/>
        <v>273.3114893258187</v>
      </c>
      <c r="AX88" s="194">
        <f t="shared" si="226"/>
        <v>268.79721997573307</v>
      </c>
      <c r="AY88" s="194">
        <f t="shared" si="226"/>
        <v>264.2566173877719</v>
      </c>
      <c r="AZ88" s="194">
        <f t="shared" si="226"/>
        <v>259.68952795138097</v>
      </c>
      <c r="BA88" s="194">
        <f t="shared" si="226"/>
        <v>255.09579715994448</v>
      </c>
      <c r="BB88" s="195">
        <f>SUM(AP88:BA88)</f>
        <v>3358.550475916168</v>
      </c>
      <c r="BC88" s="194">
        <f aca="true" t="shared" si="227" ref="BC88:BN88">BB91*$B84/12</f>
        <v>250.47526960555788</v>
      </c>
      <c r="BD88" s="194">
        <f t="shared" si="227"/>
        <v>245.8277889737707</v>
      </c>
      <c r="BE88" s="194">
        <f t="shared" si="227"/>
        <v>241.15319803829814</v>
      </c>
      <c r="BF88" s="194">
        <f t="shared" si="227"/>
        <v>236.45133865570196</v>
      </c>
      <c r="BG88" s="194">
        <f t="shared" si="227"/>
        <v>231.72205176004067</v>
      </c>
      <c r="BH88" s="194">
        <f t="shared" si="227"/>
        <v>226.96517735748796</v>
      </c>
      <c r="BI88" s="194">
        <f t="shared" si="227"/>
        <v>222.18055452092042</v>
      </c>
      <c r="BJ88" s="194">
        <f t="shared" si="227"/>
        <v>217.36802138447285</v>
      </c>
      <c r="BK88" s="194">
        <f t="shared" si="227"/>
        <v>212.5274151380627</v>
      </c>
      <c r="BL88" s="194">
        <f t="shared" si="227"/>
        <v>207.6585720218818</v>
      </c>
      <c r="BM88" s="194">
        <f t="shared" si="227"/>
        <v>202.76132732085657</v>
      </c>
      <c r="BN88" s="194">
        <f t="shared" si="227"/>
        <v>197.83551535907532</v>
      </c>
      <c r="BO88" s="195">
        <f>SUM(BC88:BN88)</f>
        <v>2692.926230136127</v>
      </c>
      <c r="BP88" s="194">
        <f aca="true" t="shared" si="228" ref="BP88:CA88">BO91*$B84/12</f>
        <v>192.8809694941837</v>
      </c>
      <c r="BQ88" s="194">
        <f t="shared" si="228"/>
        <v>187.89752211174687</v>
      </c>
      <c r="BR88" s="194">
        <f t="shared" si="228"/>
        <v>182.88500461957912</v>
      </c>
      <c r="BS88" s="194">
        <f t="shared" si="228"/>
        <v>177.84324744204045</v>
      </c>
      <c r="BT88" s="194">
        <f t="shared" si="228"/>
        <v>172.7720800142994</v>
      </c>
      <c r="BU88" s="194">
        <f t="shared" si="228"/>
        <v>167.67133077656325</v>
      </c>
      <c r="BV88" s="194">
        <f t="shared" si="228"/>
        <v>162.54082716827364</v>
      </c>
      <c r="BW88" s="194">
        <f t="shared" si="228"/>
        <v>157.380395622269</v>
      </c>
      <c r="BX88" s="194">
        <f t="shared" si="228"/>
        <v>152.18986155891264</v>
      </c>
      <c r="BY88" s="194">
        <f t="shared" si="228"/>
        <v>146.9690493801867</v>
      </c>
      <c r="BZ88" s="194">
        <f t="shared" si="228"/>
        <v>141.71778246375155</v>
      </c>
      <c r="CA88" s="194">
        <f t="shared" si="228"/>
        <v>136.4358831569705</v>
      </c>
      <c r="CB88" s="195">
        <f>SUM(BP88:CA88)</f>
        <v>1979.1839538087768</v>
      </c>
      <c r="CC88" s="194">
        <f aca="true" t="shared" si="229" ref="CC88:CN88">CB91*$B84/12</f>
        <v>131.1231727708999</v>
      </c>
      <c r="CD88" s="194">
        <f t="shared" si="229"/>
        <v>125.77947157424393</v>
      </c>
      <c r="CE88" s="194">
        <f t="shared" si="229"/>
        <v>120.4045987872741</v>
      </c>
      <c r="CF88" s="194">
        <f t="shared" si="229"/>
        <v>114.99837257571362</v>
      </c>
      <c r="CG88" s="194">
        <f t="shared" si="229"/>
        <v>109.5606100445857</v>
      </c>
      <c r="CH88" s="194">
        <f t="shared" si="229"/>
        <v>104.09112723202618</v>
      </c>
      <c r="CI88" s="194">
        <f t="shared" si="229"/>
        <v>98.58973910306008</v>
      </c>
      <c r="CJ88" s="194">
        <f t="shared" si="229"/>
        <v>93.0562595433417</v>
      </c>
      <c r="CK88" s="194">
        <f t="shared" si="229"/>
        <v>87.49050135285826</v>
      </c>
      <c r="CL88" s="194">
        <f t="shared" si="229"/>
        <v>81.89227623959702</v>
      </c>
      <c r="CM88" s="194">
        <f t="shared" si="229"/>
        <v>76.2613948131751</v>
      </c>
      <c r="CN88" s="194">
        <f t="shared" si="229"/>
        <v>70.59766657843237</v>
      </c>
      <c r="CO88" s="195">
        <f>SUM(CC88:CN88)</f>
        <v>1213.845190615208</v>
      </c>
      <c r="CP88" s="194">
        <f aca="true" t="shared" si="230" ref="CP88:DA88">CO91*$B84/12</f>
        <v>64.90089992898699</v>
      </c>
      <c r="CQ88" s="194">
        <f t="shared" si="230"/>
        <v>59.17090214075316</v>
      </c>
      <c r="CR88" s="194">
        <f t="shared" si="230"/>
        <v>53.4074793654213</v>
      </c>
      <c r="CS88" s="194">
        <f t="shared" si="230"/>
        <v>47.61043662390002</v>
      </c>
      <c r="CT88" s="194">
        <f t="shared" si="230"/>
        <v>41.77957779971985</v>
      </c>
      <c r="CU88" s="194">
        <f t="shared" si="230"/>
        <v>35.91470563239863</v>
      </c>
      <c r="CV88" s="194">
        <f t="shared" si="230"/>
        <v>30.01562171076804</v>
      </c>
      <c r="CW88" s="194">
        <f t="shared" si="230"/>
        <v>24.082126466261272</v>
      </c>
      <c r="CX88" s="194">
        <f t="shared" si="230"/>
        <v>18.114019166161544</v>
      </c>
      <c r="CY88" s="194">
        <f t="shared" si="230"/>
        <v>12.11109790681124</v>
      </c>
      <c r="CZ88" s="194">
        <f t="shared" si="230"/>
        <v>6.073159606781391</v>
      </c>
      <c r="DA88" s="194">
        <f t="shared" si="230"/>
        <v>1.3674631797281716E-12</v>
      </c>
      <c r="DB88" s="195">
        <f>SUM(CP88:DA88)</f>
        <v>393.1800263479649</v>
      </c>
      <c r="DC88" s="194">
        <f aca="true" t="shared" si="231" ref="DC88:DN88">DB91*$B84/12</f>
        <v>1.3674631797281716E-12</v>
      </c>
      <c r="DD88" s="194">
        <f t="shared" si="231"/>
        <v>1.3674631797281716E-12</v>
      </c>
      <c r="DE88" s="194">
        <f t="shared" si="231"/>
        <v>1.3674631797281716E-12</v>
      </c>
      <c r="DF88" s="194">
        <f t="shared" si="231"/>
        <v>1.3674631797281716E-12</v>
      </c>
      <c r="DG88" s="194">
        <f t="shared" si="231"/>
        <v>1.3674631797281716E-12</v>
      </c>
      <c r="DH88" s="194">
        <f t="shared" si="231"/>
        <v>1.3674631797281716E-12</v>
      </c>
      <c r="DI88" s="194">
        <f t="shared" si="231"/>
        <v>1.3674631797281716E-12</v>
      </c>
      <c r="DJ88" s="194">
        <f t="shared" si="231"/>
        <v>1.3674631797281716E-12</v>
      </c>
      <c r="DK88" s="194">
        <f t="shared" si="231"/>
        <v>1.3674631797281716E-12</v>
      </c>
      <c r="DL88" s="194">
        <f t="shared" si="231"/>
        <v>1.3674631797281716E-12</v>
      </c>
      <c r="DM88" s="194">
        <f t="shared" si="231"/>
        <v>1.3674631797281716E-12</v>
      </c>
      <c r="DN88" s="194">
        <f t="shared" si="231"/>
        <v>1.3674631797281716E-12</v>
      </c>
      <c r="DO88" s="195">
        <f>SUM(DC88:DN88)</f>
        <v>1.6409558156738058E-11</v>
      </c>
    </row>
    <row r="89" spans="1:119" ht="12.75">
      <c r="A89" s="188" t="s">
        <v>14</v>
      </c>
      <c r="B89" s="193">
        <f>O89+AB89+AO89+BB89+BO89+CB89+CO89+DB89+DO89</f>
        <v>63464.919366999755</v>
      </c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9"/>
      <c r="O89" s="195">
        <f>SUM(C89:N89)</f>
        <v>0</v>
      </c>
      <c r="P89" s="199"/>
      <c r="Q89" s="199"/>
      <c r="R89" s="199"/>
      <c r="S89" s="199"/>
      <c r="T89" s="199"/>
      <c r="U89" s="199"/>
      <c r="V89" s="199"/>
      <c r="W89" s="199"/>
      <c r="X89" s="194">
        <f>$B93-X88</f>
        <v>676.974205413952</v>
      </c>
      <c r="Y89" s="194">
        <f>$B93-Y88</f>
        <v>680.9232216122</v>
      </c>
      <c r="Z89" s="194">
        <f>$B93-Z88</f>
        <v>684.8952737382713</v>
      </c>
      <c r="AA89" s="194">
        <f>$B93-AA88</f>
        <v>688.8904961684111</v>
      </c>
      <c r="AB89" s="195">
        <f>SUM(P89:AA89)</f>
        <v>2731.683196932834</v>
      </c>
      <c r="AC89" s="194">
        <f aca="true" t="shared" si="232" ref="AC89:AN89">$B93-AC88</f>
        <v>692.9090240627268</v>
      </c>
      <c r="AD89" s="194">
        <f t="shared" si="232"/>
        <v>696.9509933697593</v>
      </c>
      <c r="AE89" s="194">
        <f t="shared" si="232"/>
        <v>701.0165408310829</v>
      </c>
      <c r="AF89" s="194">
        <f t="shared" si="232"/>
        <v>705.1058039859311</v>
      </c>
      <c r="AG89" s="194">
        <f t="shared" si="232"/>
        <v>709.2189211758489</v>
      </c>
      <c r="AH89" s="194">
        <f t="shared" si="232"/>
        <v>713.3560315493747</v>
      </c>
      <c r="AI89" s="194">
        <f t="shared" si="232"/>
        <v>717.5172750667462</v>
      </c>
      <c r="AJ89" s="194">
        <f t="shared" si="232"/>
        <v>721.7027925046355</v>
      </c>
      <c r="AK89" s="194">
        <f t="shared" si="232"/>
        <v>725.9127254609125</v>
      </c>
      <c r="AL89" s="194">
        <f t="shared" si="232"/>
        <v>730.1472163594344</v>
      </c>
      <c r="AM89" s="194">
        <f t="shared" si="232"/>
        <v>734.4064084548645</v>
      </c>
      <c r="AN89" s="194">
        <f t="shared" si="232"/>
        <v>738.6904458375179</v>
      </c>
      <c r="AO89" s="195">
        <f>SUM(AC89:AN89)</f>
        <v>8586.934178658834</v>
      </c>
      <c r="AP89" s="194">
        <f aca="true" t="shared" si="233" ref="AP89:BA89">$B93-AP88</f>
        <v>742.9994734382368</v>
      </c>
      <c r="AQ89" s="194">
        <f t="shared" si="233"/>
        <v>747.3336370332931</v>
      </c>
      <c r="AR89" s="194">
        <f t="shared" si="233"/>
        <v>751.6930832493207</v>
      </c>
      <c r="AS89" s="194">
        <f t="shared" si="233"/>
        <v>756.077959568275</v>
      </c>
      <c r="AT89" s="194">
        <f t="shared" si="233"/>
        <v>760.4884143324234</v>
      </c>
      <c r="AU89" s="194">
        <f t="shared" si="233"/>
        <v>764.9245967493625</v>
      </c>
      <c r="AV89" s="194">
        <f t="shared" si="233"/>
        <v>769.386656897067</v>
      </c>
      <c r="AW89" s="194">
        <f t="shared" si="233"/>
        <v>773.8747457289667</v>
      </c>
      <c r="AX89" s="194">
        <f t="shared" si="233"/>
        <v>778.3890150790523</v>
      </c>
      <c r="AY89" s="194">
        <f t="shared" si="233"/>
        <v>782.9296176670134</v>
      </c>
      <c r="AZ89" s="194">
        <f t="shared" si="233"/>
        <v>787.4967071034043</v>
      </c>
      <c r="BA89" s="194">
        <f t="shared" si="233"/>
        <v>792.0904378948409</v>
      </c>
      <c r="BB89" s="195">
        <f>SUM(AP89:BA89)</f>
        <v>9207.684344741256</v>
      </c>
      <c r="BC89" s="194">
        <f aca="true" t="shared" si="234" ref="BC89:BN89">$B93-BC88</f>
        <v>796.7109654492275</v>
      </c>
      <c r="BD89" s="194">
        <f t="shared" si="234"/>
        <v>801.3584460810147</v>
      </c>
      <c r="BE89" s="194">
        <f t="shared" si="234"/>
        <v>806.0330370164872</v>
      </c>
      <c r="BF89" s="194">
        <f t="shared" si="234"/>
        <v>810.7348963990834</v>
      </c>
      <c r="BG89" s="194">
        <f t="shared" si="234"/>
        <v>815.4641832947447</v>
      </c>
      <c r="BH89" s="194">
        <f t="shared" si="234"/>
        <v>820.2210576972974</v>
      </c>
      <c r="BI89" s="194">
        <f t="shared" si="234"/>
        <v>825.005680533865</v>
      </c>
      <c r="BJ89" s="194">
        <f t="shared" si="234"/>
        <v>829.8182136703125</v>
      </c>
      <c r="BK89" s="194">
        <f t="shared" si="234"/>
        <v>834.6588199167227</v>
      </c>
      <c r="BL89" s="194">
        <f t="shared" si="234"/>
        <v>839.5276630329035</v>
      </c>
      <c r="BM89" s="194">
        <f t="shared" si="234"/>
        <v>844.4249077339288</v>
      </c>
      <c r="BN89" s="194">
        <f t="shared" si="234"/>
        <v>849.35071969571</v>
      </c>
      <c r="BO89" s="195">
        <f>SUM(BC89:BN89)</f>
        <v>9873.308590521297</v>
      </c>
      <c r="BP89" s="194">
        <f aca="true" t="shared" si="235" ref="BP89:CA89">$B93-BP88</f>
        <v>854.3052655606017</v>
      </c>
      <c r="BQ89" s="194">
        <f t="shared" si="235"/>
        <v>859.2887129430385</v>
      </c>
      <c r="BR89" s="194">
        <f t="shared" si="235"/>
        <v>864.3012304352062</v>
      </c>
      <c r="BS89" s="194">
        <f t="shared" si="235"/>
        <v>869.3429876127449</v>
      </c>
      <c r="BT89" s="194">
        <f t="shared" si="235"/>
        <v>874.414155040486</v>
      </c>
      <c r="BU89" s="194">
        <f t="shared" si="235"/>
        <v>879.514904278222</v>
      </c>
      <c r="BV89" s="194">
        <f t="shared" si="235"/>
        <v>884.6454078865117</v>
      </c>
      <c r="BW89" s="194">
        <f t="shared" si="235"/>
        <v>889.8058394325163</v>
      </c>
      <c r="BX89" s="194">
        <f t="shared" si="235"/>
        <v>894.9963734958727</v>
      </c>
      <c r="BY89" s="194">
        <f t="shared" si="235"/>
        <v>900.2171856745987</v>
      </c>
      <c r="BZ89" s="194">
        <f t="shared" si="235"/>
        <v>905.4684525910338</v>
      </c>
      <c r="CA89" s="194">
        <f t="shared" si="235"/>
        <v>910.7503518978149</v>
      </c>
      <c r="CB89" s="195">
        <f>SUM(BP89:CA89)</f>
        <v>10587.05086684865</v>
      </c>
      <c r="CC89" s="194">
        <f aca="true" t="shared" si="236" ref="CC89:CN89">$B93-CC88</f>
        <v>916.0630622838854</v>
      </c>
      <c r="CD89" s="194">
        <f t="shared" si="236"/>
        <v>921.4067634805415</v>
      </c>
      <c r="CE89" s="194">
        <f t="shared" si="236"/>
        <v>926.7816362675112</v>
      </c>
      <c r="CF89" s="194">
        <f t="shared" si="236"/>
        <v>932.1878624790718</v>
      </c>
      <c r="CG89" s="194">
        <f t="shared" si="236"/>
        <v>937.6256250101997</v>
      </c>
      <c r="CH89" s="194">
        <f t="shared" si="236"/>
        <v>943.0951078227591</v>
      </c>
      <c r="CI89" s="194">
        <f t="shared" si="236"/>
        <v>948.5964959517253</v>
      </c>
      <c r="CJ89" s="194">
        <f t="shared" si="236"/>
        <v>954.1299755114437</v>
      </c>
      <c r="CK89" s="194">
        <f t="shared" si="236"/>
        <v>959.6957337019271</v>
      </c>
      <c r="CL89" s="194">
        <f t="shared" si="236"/>
        <v>965.2939588151884</v>
      </c>
      <c r="CM89" s="194">
        <f t="shared" si="236"/>
        <v>970.9248402416102</v>
      </c>
      <c r="CN89" s="194">
        <f t="shared" si="236"/>
        <v>976.588568476353</v>
      </c>
      <c r="CO89" s="195">
        <f>SUM(CC89:CN89)</f>
        <v>11352.389630042215</v>
      </c>
      <c r="CP89" s="194">
        <f aca="true" t="shared" si="237" ref="CP89:CZ89">$B93-CP88</f>
        <v>982.2853351257984</v>
      </c>
      <c r="CQ89" s="194">
        <f t="shared" si="237"/>
        <v>988.0153329140322</v>
      </c>
      <c r="CR89" s="194">
        <f t="shared" si="237"/>
        <v>993.7787556893641</v>
      </c>
      <c r="CS89" s="194">
        <f t="shared" si="237"/>
        <v>999.5757984308854</v>
      </c>
      <c r="CT89" s="194">
        <f t="shared" si="237"/>
        <v>1005.4066572550655</v>
      </c>
      <c r="CU89" s="194">
        <f t="shared" si="237"/>
        <v>1011.2715294223867</v>
      </c>
      <c r="CV89" s="194">
        <f t="shared" si="237"/>
        <v>1017.1706133440173</v>
      </c>
      <c r="CW89" s="194">
        <f t="shared" si="237"/>
        <v>1023.1041085885241</v>
      </c>
      <c r="CX89" s="194">
        <f t="shared" si="237"/>
        <v>1029.0722158886238</v>
      </c>
      <c r="CY89" s="194">
        <f t="shared" si="237"/>
        <v>1035.0751371479741</v>
      </c>
      <c r="CZ89" s="194">
        <f t="shared" si="237"/>
        <v>1041.1130754480039</v>
      </c>
      <c r="DA89" s="194"/>
      <c r="DB89" s="195">
        <f>SUM(CP89:DA89)</f>
        <v>11125.868559254675</v>
      </c>
      <c r="DC89" s="194"/>
      <c r="DD89" s="194"/>
      <c r="DE89" s="194"/>
      <c r="DF89" s="194"/>
      <c r="DG89" s="194"/>
      <c r="DH89" s="194"/>
      <c r="DI89" s="194"/>
      <c r="DJ89" s="194"/>
      <c r="DK89" s="194"/>
      <c r="DL89" s="194"/>
      <c r="DM89" s="194"/>
      <c r="DN89" s="194"/>
      <c r="DO89" s="195">
        <f>SUM(DC89:DN89)</f>
        <v>0</v>
      </c>
    </row>
    <row r="90" spans="1:119" ht="12.75">
      <c r="A90" s="188" t="s">
        <v>15</v>
      </c>
      <c r="B90" s="193">
        <f>O90+AB90+AO90+BB90+BO90+CB90+CO90+DB90+DO90</f>
        <v>15074.048262109158</v>
      </c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9"/>
      <c r="O90" s="195">
        <f>SUM(C90:N90)</f>
        <v>0</v>
      </c>
      <c r="P90" s="199"/>
      <c r="Q90" s="199"/>
      <c r="R90" s="199"/>
      <c r="S90" s="199"/>
      <c r="T90" s="199"/>
      <c r="U90" s="199"/>
      <c r="V90" s="199"/>
      <c r="W90" s="199"/>
      <c r="X90" s="194">
        <f>X88</f>
        <v>370.2120296408334</v>
      </c>
      <c r="Y90" s="194">
        <f>Y88</f>
        <v>366.26301344258536</v>
      </c>
      <c r="Z90" s="194">
        <f>Z88</f>
        <v>362.29096131651414</v>
      </c>
      <c r="AA90" s="194">
        <f>AA88</f>
        <v>358.2957388863743</v>
      </c>
      <c r="AB90" s="195">
        <f>SUM(P90:AA90)</f>
        <v>1457.061743286307</v>
      </c>
      <c r="AC90" s="194">
        <f aca="true" t="shared" si="238" ref="AC90:AK90">AC88</f>
        <v>354.27721099205854</v>
      </c>
      <c r="AD90" s="194">
        <f t="shared" si="238"/>
        <v>350.235241685026</v>
      </c>
      <c r="AE90" s="194">
        <f t="shared" si="238"/>
        <v>346.1696942237024</v>
      </c>
      <c r="AF90" s="194">
        <f t="shared" si="238"/>
        <v>342.08043106885435</v>
      </c>
      <c r="AG90" s="194">
        <f t="shared" si="238"/>
        <v>337.9673138789364</v>
      </c>
      <c r="AH90" s="194">
        <f t="shared" si="238"/>
        <v>333.8302035054106</v>
      </c>
      <c r="AI90" s="194">
        <f t="shared" si="238"/>
        <v>329.66895998803926</v>
      </c>
      <c r="AJ90" s="194">
        <f t="shared" si="238"/>
        <v>325.4834425501499</v>
      </c>
      <c r="AK90" s="194">
        <f t="shared" si="238"/>
        <v>321.27350959387286</v>
      </c>
      <c r="AL90" s="194">
        <f>AL88</f>
        <v>317.0390186953509</v>
      </c>
      <c r="AM90" s="194">
        <f>AM88</f>
        <v>312.7798265999208</v>
      </c>
      <c r="AN90" s="194">
        <f>AN88</f>
        <v>308.49578921726743</v>
      </c>
      <c r="AO90" s="195">
        <f>SUM(AC90:AN90)</f>
        <v>3979.3006419985895</v>
      </c>
      <c r="AP90" s="194">
        <f aca="true" t="shared" si="239" ref="AP90:BA90">AP88</f>
        <v>304.18676161654855</v>
      </c>
      <c r="AQ90" s="194">
        <f t="shared" si="239"/>
        <v>299.85259802149216</v>
      </c>
      <c r="AR90" s="194">
        <f t="shared" si="239"/>
        <v>295.49315180546466</v>
      </c>
      <c r="AS90" s="194">
        <f t="shared" si="239"/>
        <v>291.1082754865103</v>
      </c>
      <c r="AT90" s="194">
        <f t="shared" si="239"/>
        <v>286.697820722362</v>
      </c>
      <c r="AU90" s="194">
        <f t="shared" si="239"/>
        <v>282.2616383054229</v>
      </c>
      <c r="AV90" s="194">
        <f t="shared" si="239"/>
        <v>277.79957815771826</v>
      </c>
      <c r="AW90" s="194">
        <f t="shared" si="239"/>
        <v>273.3114893258187</v>
      </c>
      <c r="AX90" s="194">
        <f t="shared" si="239"/>
        <v>268.79721997573307</v>
      </c>
      <c r="AY90" s="194">
        <f t="shared" si="239"/>
        <v>264.2566173877719</v>
      </c>
      <c r="AZ90" s="194">
        <f t="shared" si="239"/>
        <v>259.68952795138097</v>
      </c>
      <c r="BA90" s="194">
        <f t="shared" si="239"/>
        <v>255.09579715994448</v>
      </c>
      <c r="BB90" s="195">
        <f>SUM(AP90:BA90)</f>
        <v>3358.550475916168</v>
      </c>
      <c r="BC90" s="194">
        <f aca="true" t="shared" si="240" ref="BC90:BN90">BC88</f>
        <v>250.47526960555788</v>
      </c>
      <c r="BD90" s="194">
        <f t="shared" si="240"/>
        <v>245.8277889737707</v>
      </c>
      <c r="BE90" s="194">
        <f t="shared" si="240"/>
        <v>241.15319803829814</v>
      </c>
      <c r="BF90" s="194">
        <f t="shared" si="240"/>
        <v>236.45133865570196</v>
      </c>
      <c r="BG90" s="194">
        <f t="shared" si="240"/>
        <v>231.72205176004067</v>
      </c>
      <c r="BH90" s="194">
        <f t="shared" si="240"/>
        <v>226.96517735748796</v>
      </c>
      <c r="BI90" s="194">
        <f t="shared" si="240"/>
        <v>222.18055452092042</v>
      </c>
      <c r="BJ90" s="194">
        <f t="shared" si="240"/>
        <v>217.36802138447285</v>
      </c>
      <c r="BK90" s="194">
        <f t="shared" si="240"/>
        <v>212.5274151380627</v>
      </c>
      <c r="BL90" s="194">
        <f t="shared" si="240"/>
        <v>207.6585720218818</v>
      </c>
      <c r="BM90" s="194">
        <f t="shared" si="240"/>
        <v>202.76132732085657</v>
      </c>
      <c r="BN90" s="194">
        <f t="shared" si="240"/>
        <v>197.83551535907532</v>
      </c>
      <c r="BO90" s="195">
        <f>SUM(BC90:BN90)</f>
        <v>2692.926230136127</v>
      </c>
      <c r="BP90" s="194">
        <f aca="true" t="shared" si="241" ref="BP90:CA90">BP88</f>
        <v>192.8809694941837</v>
      </c>
      <c r="BQ90" s="194">
        <f t="shared" si="241"/>
        <v>187.89752211174687</v>
      </c>
      <c r="BR90" s="194">
        <f t="shared" si="241"/>
        <v>182.88500461957912</v>
      </c>
      <c r="BS90" s="194">
        <f t="shared" si="241"/>
        <v>177.84324744204045</v>
      </c>
      <c r="BT90" s="194">
        <f t="shared" si="241"/>
        <v>172.7720800142994</v>
      </c>
      <c r="BU90" s="194">
        <f t="shared" si="241"/>
        <v>167.67133077656325</v>
      </c>
      <c r="BV90" s="194">
        <f t="shared" si="241"/>
        <v>162.54082716827364</v>
      </c>
      <c r="BW90" s="194">
        <f t="shared" si="241"/>
        <v>157.380395622269</v>
      </c>
      <c r="BX90" s="194">
        <f t="shared" si="241"/>
        <v>152.18986155891264</v>
      </c>
      <c r="BY90" s="194">
        <f t="shared" si="241"/>
        <v>146.9690493801867</v>
      </c>
      <c r="BZ90" s="194">
        <f t="shared" si="241"/>
        <v>141.71778246375155</v>
      </c>
      <c r="CA90" s="194">
        <f t="shared" si="241"/>
        <v>136.4358831569705</v>
      </c>
      <c r="CB90" s="195">
        <f>SUM(BP90:CA90)</f>
        <v>1979.1839538087768</v>
      </c>
      <c r="CC90" s="194">
        <f aca="true" t="shared" si="242" ref="CC90:CN90">CC88</f>
        <v>131.1231727708999</v>
      </c>
      <c r="CD90" s="194">
        <f t="shared" si="242"/>
        <v>125.77947157424393</v>
      </c>
      <c r="CE90" s="194">
        <f t="shared" si="242"/>
        <v>120.4045987872741</v>
      </c>
      <c r="CF90" s="194">
        <f t="shared" si="242"/>
        <v>114.99837257571362</v>
      </c>
      <c r="CG90" s="194">
        <f t="shared" si="242"/>
        <v>109.5606100445857</v>
      </c>
      <c r="CH90" s="194">
        <f t="shared" si="242"/>
        <v>104.09112723202618</v>
      </c>
      <c r="CI90" s="194">
        <f t="shared" si="242"/>
        <v>98.58973910306008</v>
      </c>
      <c r="CJ90" s="194">
        <f t="shared" si="242"/>
        <v>93.0562595433417</v>
      </c>
      <c r="CK90" s="194">
        <f t="shared" si="242"/>
        <v>87.49050135285826</v>
      </c>
      <c r="CL90" s="194">
        <f t="shared" si="242"/>
        <v>81.89227623959702</v>
      </c>
      <c r="CM90" s="194">
        <f t="shared" si="242"/>
        <v>76.2613948131751</v>
      </c>
      <c r="CN90" s="194">
        <f t="shared" si="242"/>
        <v>70.59766657843237</v>
      </c>
      <c r="CO90" s="195">
        <f>SUM(CC90:CN90)</f>
        <v>1213.845190615208</v>
      </c>
      <c r="CP90" s="194">
        <f aca="true" t="shared" si="243" ref="CP90:DA90">CP88</f>
        <v>64.90089992898699</v>
      </c>
      <c r="CQ90" s="194">
        <f t="shared" si="243"/>
        <v>59.17090214075316</v>
      </c>
      <c r="CR90" s="194">
        <f t="shared" si="243"/>
        <v>53.4074793654213</v>
      </c>
      <c r="CS90" s="194">
        <f t="shared" si="243"/>
        <v>47.61043662390002</v>
      </c>
      <c r="CT90" s="194">
        <f t="shared" si="243"/>
        <v>41.77957779971985</v>
      </c>
      <c r="CU90" s="194">
        <f t="shared" si="243"/>
        <v>35.91470563239863</v>
      </c>
      <c r="CV90" s="194">
        <f t="shared" si="243"/>
        <v>30.01562171076804</v>
      </c>
      <c r="CW90" s="194">
        <f t="shared" si="243"/>
        <v>24.082126466261272</v>
      </c>
      <c r="CX90" s="194">
        <f t="shared" si="243"/>
        <v>18.114019166161544</v>
      </c>
      <c r="CY90" s="194">
        <f t="shared" si="243"/>
        <v>12.11109790681124</v>
      </c>
      <c r="CZ90" s="194">
        <f t="shared" si="243"/>
        <v>6.073159606781391</v>
      </c>
      <c r="DA90" s="194">
        <f t="shared" si="243"/>
        <v>1.3674631797281716E-12</v>
      </c>
      <c r="DB90" s="195">
        <f>SUM(CP90:DA90)</f>
        <v>393.1800263479649</v>
      </c>
      <c r="DC90" s="194">
        <f aca="true" t="shared" si="244" ref="DC90:DN90">DC88</f>
        <v>1.3674631797281716E-12</v>
      </c>
      <c r="DD90" s="194">
        <f t="shared" si="244"/>
        <v>1.3674631797281716E-12</v>
      </c>
      <c r="DE90" s="194">
        <f t="shared" si="244"/>
        <v>1.3674631797281716E-12</v>
      </c>
      <c r="DF90" s="194">
        <f t="shared" si="244"/>
        <v>1.3674631797281716E-12</v>
      </c>
      <c r="DG90" s="194">
        <f t="shared" si="244"/>
        <v>1.3674631797281716E-12</v>
      </c>
      <c r="DH90" s="194">
        <f t="shared" si="244"/>
        <v>1.3674631797281716E-12</v>
      </c>
      <c r="DI90" s="194">
        <f t="shared" si="244"/>
        <v>1.3674631797281716E-12</v>
      </c>
      <c r="DJ90" s="194">
        <f t="shared" si="244"/>
        <v>1.3674631797281716E-12</v>
      </c>
      <c r="DK90" s="194">
        <f t="shared" si="244"/>
        <v>1.3674631797281716E-12</v>
      </c>
      <c r="DL90" s="194">
        <f t="shared" si="244"/>
        <v>1.3674631797281716E-12</v>
      </c>
      <c r="DM90" s="194">
        <f t="shared" si="244"/>
        <v>1.3674631797281716E-12</v>
      </c>
      <c r="DN90" s="194">
        <f t="shared" si="244"/>
        <v>1.3674631797281716E-12</v>
      </c>
      <c r="DO90" s="195">
        <f>SUM(DC90:DN90)</f>
        <v>1.6409558156738058E-11</v>
      </c>
    </row>
    <row r="91" spans="1:119" ht="12.75">
      <c r="A91" s="188" t="s">
        <v>16</v>
      </c>
      <c r="B91" s="193">
        <f>DO91</f>
        <v>2.3442225938197225E-10</v>
      </c>
      <c r="C91" s="194">
        <f>C86</f>
        <v>0</v>
      </c>
      <c r="D91" s="194">
        <f aca="true" t="shared" si="245" ref="D91:N91">C91+D86-D89+D87</f>
        <v>0</v>
      </c>
      <c r="E91" s="194">
        <f t="shared" si="245"/>
        <v>0</v>
      </c>
      <c r="F91" s="194">
        <f t="shared" si="245"/>
        <v>0</v>
      </c>
      <c r="G91" s="194">
        <f t="shared" si="245"/>
        <v>0</v>
      </c>
      <c r="H91" s="194">
        <f t="shared" si="245"/>
        <v>0</v>
      </c>
      <c r="I91" s="194">
        <f t="shared" si="245"/>
        <v>0</v>
      </c>
      <c r="J91" s="194">
        <f t="shared" si="245"/>
        <v>0</v>
      </c>
      <c r="K91" s="194">
        <f t="shared" si="245"/>
        <v>0</v>
      </c>
      <c r="L91" s="194">
        <f t="shared" si="245"/>
        <v>0</v>
      </c>
      <c r="M91" s="194">
        <f t="shared" si="245"/>
        <v>60299.2108</v>
      </c>
      <c r="N91" s="194">
        <f t="shared" si="245"/>
        <v>60299.2108</v>
      </c>
      <c r="O91" s="195">
        <f>N91</f>
        <v>60299.2108</v>
      </c>
      <c r="P91" s="194">
        <f aca="true" t="shared" si="246" ref="P91:AA91">O91+P86-P89+P87</f>
        <v>60299.2108</v>
      </c>
      <c r="Q91" s="194">
        <f t="shared" si="246"/>
        <v>60299.2108</v>
      </c>
      <c r="R91" s="194">
        <f t="shared" si="246"/>
        <v>60299.2108</v>
      </c>
      <c r="S91" s="194">
        <f t="shared" si="246"/>
        <v>60299.2108</v>
      </c>
      <c r="T91" s="194">
        <f t="shared" si="246"/>
        <v>60299.2108</v>
      </c>
      <c r="U91" s="194">
        <f t="shared" si="246"/>
        <v>60299.2108</v>
      </c>
      <c r="V91" s="194">
        <f t="shared" si="246"/>
        <v>60299.2108</v>
      </c>
      <c r="W91" s="194">
        <f t="shared" si="246"/>
        <v>63464.919367</v>
      </c>
      <c r="X91" s="194">
        <f t="shared" si="246"/>
        <v>62787.94516158605</v>
      </c>
      <c r="Y91" s="194">
        <f t="shared" si="246"/>
        <v>62107.021939973856</v>
      </c>
      <c r="Z91" s="194">
        <f t="shared" si="246"/>
        <v>61422.126666235585</v>
      </c>
      <c r="AA91" s="194">
        <f t="shared" si="246"/>
        <v>60733.236170067175</v>
      </c>
      <c r="AB91" s="195">
        <f>AA91</f>
        <v>60733.236170067175</v>
      </c>
      <c r="AC91" s="194">
        <f aca="true" t="shared" si="247" ref="AC91:AN91">AB91+AC86-AC89+AC87</f>
        <v>60040.32714600445</v>
      </c>
      <c r="AD91" s="194">
        <f t="shared" si="247"/>
        <v>59343.376152634686</v>
      </c>
      <c r="AE91" s="194">
        <f t="shared" si="247"/>
        <v>58642.3596118036</v>
      </c>
      <c r="AF91" s="194">
        <f t="shared" si="247"/>
        <v>57937.253807817666</v>
      </c>
      <c r="AG91" s="194">
        <f t="shared" si="247"/>
        <v>57228.03488664181</v>
      </c>
      <c r="AH91" s="194">
        <f t="shared" si="247"/>
        <v>56514.67885509244</v>
      </c>
      <c r="AI91" s="194">
        <f t="shared" si="247"/>
        <v>55797.16158002569</v>
      </c>
      <c r="AJ91" s="194">
        <f t="shared" si="247"/>
        <v>55075.45878752106</v>
      </c>
      <c r="AK91" s="194">
        <f t="shared" si="247"/>
        <v>54349.546062060144</v>
      </c>
      <c r="AL91" s="194">
        <f t="shared" si="247"/>
        <v>53619.39884570071</v>
      </c>
      <c r="AM91" s="194">
        <f t="shared" si="247"/>
        <v>52884.99243724584</v>
      </c>
      <c r="AN91" s="194">
        <f t="shared" si="247"/>
        <v>52146.30199140832</v>
      </c>
      <c r="AO91" s="195">
        <f>AN91</f>
        <v>52146.30199140832</v>
      </c>
      <c r="AP91" s="194">
        <f aca="true" t="shared" si="248" ref="AP91:BA91">AO91+AP86-AP89+AP87</f>
        <v>51403.302517970085</v>
      </c>
      <c r="AQ91" s="194">
        <f t="shared" si="248"/>
        <v>50655.968880936794</v>
      </c>
      <c r="AR91" s="194">
        <f t="shared" si="248"/>
        <v>49904.27579768747</v>
      </c>
      <c r="AS91" s="194">
        <f t="shared" si="248"/>
        <v>49148.197838119195</v>
      </c>
      <c r="AT91" s="194">
        <f t="shared" si="248"/>
        <v>48387.70942378677</v>
      </c>
      <c r="AU91" s="194">
        <f t="shared" si="248"/>
        <v>47622.78482703741</v>
      </c>
      <c r="AV91" s="194">
        <f t="shared" si="248"/>
        <v>46853.39817014034</v>
      </c>
      <c r="AW91" s="194">
        <f t="shared" si="248"/>
        <v>46079.523424411374</v>
      </c>
      <c r="AX91" s="194">
        <f t="shared" si="248"/>
        <v>45301.13440933232</v>
      </c>
      <c r="AY91" s="194">
        <f t="shared" si="248"/>
        <v>44518.20479166531</v>
      </c>
      <c r="AZ91" s="194">
        <f t="shared" si="248"/>
        <v>43730.708084561906</v>
      </c>
      <c r="BA91" s="194">
        <f t="shared" si="248"/>
        <v>42938.617646667066</v>
      </c>
      <c r="BB91" s="195">
        <f>BA91</f>
        <v>42938.617646667066</v>
      </c>
      <c r="BC91" s="194">
        <f aca="true" t="shared" si="249" ref="BC91:BN91">BB91+BC86-BC89+BC87</f>
        <v>42141.906681217835</v>
      </c>
      <c r="BD91" s="194">
        <f t="shared" si="249"/>
        <v>41340.54823513682</v>
      </c>
      <c r="BE91" s="194">
        <f t="shared" si="249"/>
        <v>40534.51519812033</v>
      </c>
      <c r="BF91" s="194">
        <f t="shared" si="249"/>
        <v>39723.78030172125</v>
      </c>
      <c r="BG91" s="194">
        <f t="shared" si="249"/>
        <v>38908.316118426505</v>
      </c>
      <c r="BH91" s="194">
        <f t="shared" si="249"/>
        <v>38088.09506072921</v>
      </c>
      <c r="BI91" s="194">
        <f t="shared" si="249"/>
        <v>37263.08938019534</v>
      </c>
      <c r="BJ91" s="194">
        <f t="shared" si="249"/>
        <v>36433.27116652503</v>
      </c>
      <c r="BK91" s="194">
        <f t="shared" si="249"/>
        <v>35598.61234660831</v>
      </c>
      <c r="BL91" s="194">
        <f t="shared" si="249"/>
        <v>34759.084683575406</v>
      </c>
      <c r="BM91" s="194">
        <f t="shared" si="249"/>
        <v>33914.65977584148</v>
      </c>
      <c r="BN91" s="194">
        <f t="shared" si="249"/>
        <v>33065.30905614577</v>
      </c>
      <c r="BO91" s="195">
        <f>BN91</f>
        <v>33065.30905614577</v>
      </c>
      <c r="BP91" s="194">
        <f aca="true" t="shared" si="250" ref="BP91:CA91">BO91+BP86-BP89+BP87</f>
        <v>32211.00379058517</v>
      </c>
      <c r="BQ91" s="194">
        <f t="shared" si="250"/>
        <v>31351.715077642133</v>
      </c>
      <c r="BR91" s="194">
        <f t="shared" si="250"/>
        <v>30487.413847206928</v>
      </c>
      <c r="BS91" s="194">
        <f t="shared" si="250"/>
        <v>29618.070859594183</v>
      </c>
      <c r="BT91" s="194">
        <f t="shared" si="250"/>
        <v>28743.656704553698</v>
      </c>
      <c r="BU91" s="194">
        <f t="shared" si="250"/>
        <v>27864.141800275476</v>
      </c>
      <c r="BV91" s="194">
        <f t="shared" si="250"/>
        <v>26979.496392388966</v>
      </c>
      <c r="BW91" s="194">
        <f t="shared" si="250"/>
        <v>26089.69055295645</v>
      </c>
      <c r="BX91" s="194">
        <f t="shared" si="250"/>
        <v>25194.694179460577</v>
      </c>
      <c r="BY91" s="194">
        <f t="shared" si="250"/>
        <v>24294.47699378598</v>
      </c>
      <c r="BZ91" s="194">
        <f t="shared" si="250"/>
        <v>23389.008541194944</v>
      </c>
      <c r="CA91" s="194">
        <f t="shared" si="250"/>
        <v>22478.25818929713</v>
      </c>
      <c r="CB91" s="195">
        <f>CA91</f>
        <v>22478.25818929713</v>
      </c>
      <c r="CC91" s="194">
        <f aca="true" t="shared" si="251" ref="CC91:CN91">CB91+CC86-CC89+CC87</f>
        <v>21562.19512701324</v>
      </c>
      <c r="CD91" s="194">
        <f t="shared" si="251"/>
        <v>20640.7883635327</v>
      </c>
      <c r="CE91" s="194">
        <f t="shared" si="251"/>
        <v>19714.00672726519</v>
      </c>
      <c r="CF91" s="194">
        <f t="shared" si="251"/>
        <v>18781.818864786117</v>
      </c>
      <c r="CG91" s="194">
        <f t="shared" si="251"/>
        <v>17844.193239775916</v>
      </c>
      <c r="CH91" s="194">
        <f t="shared" si="251"/>
        <v>16901.098131953157</v>
      </c>
      <c r="CI91" s="194">
        <f t="shared" si="251"/>
        <v>15952.50163600143</v>
      </c>
      <c r="CJ91" s="194">
        <f t="shared" si="251"/>
        <v>14998.371660489987</v>
      </c>
      <c r="CK91" s="194">
        <f t="shared" si="251"/>
        <v>14038.67592678806</v>
      </c>
      <c r="CL91" s="194">
        <f t="shared" si="251"/>
        <v>13073.381967972873</v>
      </c>
      <c r="CM91" s="194">
        <f t="shared" si="251"/>
        <v>12102.457127731263</v>
      </c>
      <c r="CN91" s="194">
        <f t="shared" si="251"/>
        <v>11125.86855925491</v>
      </c>
      <c r="CO91" s="195">
        <f>CN91</f>
        <v>11125.86855925491</v>
      </c>
      <c r="CP91" s="194">
        <f aca="true" t="shared" si="252" ref="CP91:DA91">CO91+CP86-CP89+CP87</f>
        <v>10143.583224129112</v>
      </c>
      <c r="CQ91" s="194">
        <f t="shared" si="252"/>
        <v>9155.56789121508</v>
      </c>
      <c r="CR91" s="194">
        <f t="shared" si="252"/>
        <v>8161.789135525716</v>
      </c>
      <c r="CS91" s="194">
        <f t="shared" si="252"/>
        <v>7162.21333709483</v>
      </c>
      <c r="CT91" s="194">
        <f t="shared" si="252"/>
        <v>6156.806679839765</v>
      </c>
      <c r="CU91" s="194">
        <f t="shared" si="252"/>
        <v>5145.535150417378</v>
      </c>
      <c r="CV91" s="194">
        <f t="shared" si="252"/>
        <v>4128.36453707336</v>
      </c>
      <c r="CW91" s="194">
        <f t="shared" si="252"/>
        <v>3105.260428484836</v>
      </c>
      <c r="CX91" s="194">
        <f t="shared" si="252"/>
        <v>2076.1882125962125</v>
      </c>
      <c r="CY91" s="194">
        <f t="shared" si="252"/>
        <v>1041.1130754482383</v>
      </c>
      <c r="CZ91" s="194">
        <f t="shared" si="252"/>
        <v>2.3442225938197225E-10</v>
      </c>
      <c r="DA91" s="194">
        <f t="shared" si="252"/>
        <v>2.3442225938197225E-10</v>
      </c>
      <c r="DB91" s="195">
        <f>DA91</f>
        <v>2.3442225938197225E-10</v>
      </c>
      <c r="DC91" s="194">
        <f aca="true" t="shared" si="253" ref="DC91:DN91">DB91+DC86-DC89+DC87</f>
        <v>2.3442225938197225E-10</v>
      </c>
      <c r="DD91" s="194">
        <f t="shared" si="253"/>
        <v>2.3442225938197225E-10</v>
      </c>
      <c r="DE91" s="194">
        <f t="shared" si="253"/>
        <v>2.3442225938197225E-10</v>
      </c>
      <c r="DF91" s="194">
        <f t="shared" si="253"/>
        <v>2.3442225938197225E-10</v>
      </c>
      <c r="DG91" s="194">
        <f t="shared" si="253"/>
        <v>2.3442225938197225E-10</v>
      </c>
      <c r="DH91" s="194">
        <f t="shared" si="253"/>
        <v>2.3442225938197225E-10</v>
      </c>
      <c r="DI91" s="194">
        <f t="shared" si="253"/>
        <v>2.3442225938197225E-10</v>
      </c>
      <c r="DJ91" s="194">
        <f t="shared" si="253"/>
        <v>2.3442225938197225E-10</v>
      </c>
      <c r="DK91" s="194">
        <f t="shared" si="253"/>
        <v>2.3442225938197225E-10</v>
      </c>
      <c r="DL91" s="194">
        <f t="shared" si="253"/>
        <v>2.3442225938197225E-10</v>
      </c>
      <c r="DM91" s="194">
        <f t="shared" si="253"/>
        <v>2.3442225938197225E-10</v>
      </c>
      <c r="DN91" s="194">
        <f t="shared" si="253"/>
        <v>2.3442225938197225E-10</v>
      </c>
      <c r="DO91" s="195">
        <f>DN91</f>
        <v>2.3442225938197225E-10</v>
      </c>
    </row>
    <row r="92" spans="1:119" ht="12.75">
      <c r="A92" s="177" t="s">
        <v>78</v>
      </c>
      <c r="B92" s="285">
        <f>Исх!$C$49*12-Исх!$C$50</f>
        <v>75</v>
      </c>
      <c r="CP92" s="180"/>
      <c r="DB92" s="177"/>
      <c r="DO92" s="177"/>
    </row>
    <row r="93" spans="1:119" ht="12.75">
      <c r="A93" s="288" t="s">
        <v>258</v>
      </c>
      <c r="B93" s="289">
        <f>$W$91*$B$20/12/((1-(1+$B$20/12)^-$B92))</f>
        <v>1047.1862350547854</v>
      </c>
      <c r="DB93" s="177"/>
      <c r="DO93" s="177"/>
    </row>
    <row r="94" spans="1:119" ht="7.5" customHeight="1">
      <c r="A94" s="286"/>
      <c r="B94" s="283"/>
      <c r="DB94" s="177"/>
      <c r="DO94" s="177"/>
    </row>
    <row r="95" spans="1:119" ht="12.75">
      <c r="A95" s="271" t="s">
        <v>244</v>
      </c>
      <c r="DB95" s="177"/>
      <c r="DO95" s="177"/>
    </row>
    <row r="96" spans="1:119" ht="12.75" hidden="1" outlineLevel="1">
      <c r="A96" s="272">
        <f>B86+B87-B89</f>
        <v>2.473825588822365E-10</v>
      </c>
      <c r="DB96" s="177"/>
      <c r="DO96" s="177"/>
    </row>
    <row r="97" spans="1:119" ht="12.75" hidden="1" outlineLevel="1">
      <c r="A97" s="272">
        <f>B88-B87-B90</f>
        <v>0</v>
      </c>
      <c r="DB97" s="177"/>
      <c r="DO97" s="177"/>
    </row>
    <row r="98" ht="12.75" collapsed="1"/>
  </sheetData>
  <sheetProtection/>
  <mergeCells count="54">
    <mergeCell ref="DC68:DO68"/>
    <mergeCell ref="C84:O84"/>
    <mergeCell ref="P84:AB84"/>
    <mergeCell ref="AC84:AO84"/>
    <mergeCell ref="AP84:BB84"/>
    <mergeCell ref="BC84:BO84"/>
    <mergeCell ref="BP84:CB84"/>
    <mergeCell ref="CC84:CO84"/>
    <mergeCell ref="CP84:DB84"/>
    <mergeCell ref="DC84:DO84"/>
    <mergeCell ref="CP52:DB52"/>
    <mergeCell ref="DC52:DO52"/>
    <mergeCell ref="C68:O68"/>
    <mergeCell ref="P68:AB68"/>
    <mergeCell ref="AC68:AO68"/>
    <mergeCell ref="AP68:BB68"/>
    <mergeCell ref="BC68:BO68"/>
    <mergeCell ref="BP68:CB68"/>
    <mergeCell ref="CC68:CO68"/>
    <mergeCell ref="CP68:DB68"/>
    <mergeCell ref="CC36:CO36"/>
    <mergeCell ref="CP36:DB36"/>
    <mergeCell ref="DC36:DO36"/>
    <mergeCell ref="C52:O52"/>
    <mergeCell ref="P52:AB52"/>
    <mergeCell ref="AC52:AO52"/>
    <mergeCell ref="AP52:BB52"/>
    <mergeCell ref="BC52:BO52"/>
    <mergeCell ref="BP52:CB52"/>
    <mergeCell ref="CC52:CO52"/>
    <mergeCell ref="C36:O36"/>
    <mergeCell ref="P36:AB36"/>
    <mergeCell ref="AC36:AO36"/>
    <mergeCell ref="AP36:BB36"/>
    <mergeCell ref="BC36:BO36"/>
    <mergeCell ref="BP36:CB36"/>
    <mergeCell ref="DC20:DO20"/>
    <mergeCell ref="CP5:DB5"/>
    <mergeCell ref="DC5:DO5"/>
    <mergeCell ref="C20:O20"/>
    <mergeCell ref="P20:AB20"/>
    <mergeCell ref="AC20:AO20"/>
    <mergeCell ref="AP20:BB20"/>
    <mergeCell ref="BC20:BO20"/>
    <mergeCell ref="BP20:CB20"/>
    <mergeCell ref="CC20:CO20"/>
    <mergeCell ref="CP20:DB20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9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S27"/>
  <sheetViews>
    <sheetView showGridLines="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10" sqref="P10"/>
    </sheetView>
  </sheetViews>
  <sheetFormatPr defaultColWidth="8.875" defaultRowHeight="12.75" outlineLevelRow="1" outlineLevelCol="1"/>
  <cols>
    <col min="1" max="1" width="35.75390625" style="78" customWidth="1"/>
    <col min="2" max="2" width="8.75390625" style="78" customWidth="1"/>
    <col min="3" max="3" width="8.00390625" style="78" customWidth="1"/>
    <col min="4" max="4" width="10.00390625" style="78" customWidth="1"/>
    <col min="5" max="11" width="4.75390625" style="78" customWidth="1" outlineLevel="1"/>
    <col min="12" max="12" width="6.625" style="78" bestFit="1" customWidth="1" outlineLevel="1"/>
    <col min="13" max="13" width="6.375" style="78" customWidth="1" outlineLevel="1"/>
    <col min="14" max="16" width="7.625" style="78" bestFit="1" customWidth="1" outlineLevel="1"/>
    <col min="17" max="17" width="10.125" style="78" customWidth="1"/>
    <col min="18" max="18" width="9.875" style="78" customWidth="1"/>
    <col min="19" max="19" width="16.00390625" style="78" customWidth="1"/>
    <col min="20" max="20" width="12.875" style="78" bestFit="1" customWidth="1"/>
    <col min="21" max="16384" width="8.875" style="78" customWidth="1"/>
  </cols>
  <sheetData>
    <row r="1" ht="8.25" customHeight="1"/>
    <row r="2" spans="1:19" ht="12.75">
      <c r="A2" s="62" t="s">
        <v>263</v>
      </c>
      <c r="B2" s="173"/>
      <c r="Q2" s="147"/>
      <c r="R2" s="201"/>
      <c r="S2" s="171"/>
    </row>
    <row r="3" spans="1:19" ht="17.25" customHeight="1">
      <c r="A3" s="364" t="s">
        <v>185</v>
      </c>
      <c r="B3" s="365" t="s">
        <v>155</v>
      </c>
      <c r="C3" s="365" t="s">
        <v>156</v>
      </c>
      <c r="D3" s="366" t="s">
        <v>189</v>
      </c>
      <c r="E3" s="318">
        <v>2013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20"/>
      <c r="Q3" s="91" t="s">
        <v>0</v>
      </c>
      <c r="R3" s="201"/>
      <c r="S3" s="202"/>
    </row>
    <row r="4" spans="1:17" ht="12.75">
      <c r="A4" s="364"/>
      <c r="B4" s="365"/>
      <c r="C4" s="365"/>
      <c r="D4" s="366"/>
      <c r="E4" s="203">
        <v>1</v>
      </c>
      <c r="F4" s="203">
        <v>2</v>
      </c>
      <c r="G4" s="203">
        <v>3</v>
      </c>
      <c r="H4" s="203">
        <v>4</v>
      </c>
      <c r="I4" s="203">
        <v>5</v>
      </c>
      <c r="J4" s="203">
        <v>6</v>
      </c>
      <c r="K4" s="203">
        <v>7</v>
      </c>
      <c r="L4" s="203">
        <v>8</v>
      </c>
      <c r="M4" s="203">
        <v>9</v>
      </c>
      <c r="N4" s="203">
        <v>10</v>
      </c>
      <c r="O4" s="203">
        <v>11</v>
      </c>
      <c r="P4" s="203">
        <v>12</v>
      </c>
      <c r="Q4" s="93">
        <v>2013</v>
      </c>
    </row>
    <row r="5" spans="1:19" s="62" customFormat="1" ht="12.75">
      <c r="A5" s="204" t="s">
        <v>184</v>
      </c>
      <c r="B5" s="205"/>
      <c r="C5" s="205"/>
      <c r="D5" s="144">
        <f aca="true" t="shared" si="0" ref="D5:Q5">SUM(D6:D8)</f>
        <v>85539</v>
      </c>
      <c r="E5" s="144">
        <f t="shared" si="0"/>
        <v>0</v>
      </c>
      <c r="F5" s="144">
        <f t="shared" si="0"/>
        <v>0</v>
      </c>
      <c r="G5" s="144">
        <f t="shared" si="0"/>
        <v>0</v>
      </c>
      <c r="H5" s="144">
        <f t="shared" si="0"/>
        <v>0</v>
      </c>
      <c r="I5" s="144">
        <f t="shared" si="0"/>
        <v>0</v>
      </c>
      <c r="J5" s="144">
        <f t="shared" si="0"/>
        <v>0</v>
      </c>
      <c r="K5" s="144">
        <f t="shared" si="0"/>
        <v>0</v>
      </c>
      <c r="L5" s="144">
        <f t="shared" si="0"/>
        <v>23634.75</v>
      </c>
      <c r="M5" s="144">
        <f t="shared" si="0"/>
        <v>20634.75</v>
      </c>
      <c r="N5" s="144">
        <f t="shared" si="0"/>
        <v>20634.75</v>
      </c>
      <c r="O5" s="144">
        <f t="shared" si="0"/>
        <v>20634.75</v>
      </c>
      <c r="P5" s="144">
        <f t="shared" si="0"/>
        <v>0</v>
      </c>
      <c r="Q5" s="144">
        <f t="shared" si="0"/>
        <v>85539</v>
      </c>
      <c r="S5" s="78"/>
    </row>
    <row r="6" spans="1:17" ht="12.75" outlineLevel="1">
      <c r="A6" s="253" t="s">
        <v>307</v>
      </c>
      <c r="B6" s="243">
        <v>1</v>
      </c>
      <c r="C6" s="243">
        <v>3000</v>
      </c>
      <c r="D6" s="154">
        <f>B6*C6</f>
        <v>3000</v>
      </c>
      <c r="E6" s="154"/>
      <c r="F6" s="154"/>
      <c r="G6" s="154"/>
      <c r="H6" s="154"/>
      <c r="I6" s="154"/>
      <c r="J6" s="154"/>
      <c r="K6" s="154"/>
      <c r="L6" s="154">
        <f>D6</f>
        <v>3000</v>
      </c>
      <c r="M6" s="154"/>
      <c r="N6" s="154"/>
      <c r="O6" s="154"/>
      <c r="P6" s="154"/>
      <c r="Q6" s="155">
        <f>SUM(E6:P6)</f>
        <v>3000</v>
      </c>
    </row>
    <row r="7" spans="1:17" ht="25.5" outlineLevel="1">
      <c r="A7" s="253" t="s">
        <v>324</v>
      </c>
      <c r="B7" s="243">
        <v>1800</v>
      </c>
      <c r="C7" s="243">
        <f>300*Исх!$C$5/1000</f>
        <v>45.855</v>
      </c>
      <c r="D7" s="154">
        <f>B7*C7</f>
        <v>82539</v>
      </c>
      <c r="E7" s="154"/>
      <c r="F7" s="154"/>
      <c r="G7" s="154"/>
      <c r="H7" s="154"/>
      <c r="I7" s="154"/>
      <c r="J7" s="154"/>
      <c r="K7" s="154"/>
      <c r="L7" s="154">
        <f>$D7/4</f>
        <v>20634.75</v>
      </c>
      <c r="M7" s="154">
        <f>$D7/4</f>
        <v>20634.75</v>
      </c>
      <c r="N7" s="154">
        <f>$D7/4</f>
        <v>20634.75</v>
      </c>
      <c r="O7" s="154">
        <f>$D7/4</f>
        <v>20634.75</v>
      </c>
      <c r="P7" s="154"/>
      <c r="Q7" s="155">
        <f>SUM(E7:P7)</f>
        <v>82539</v>
      </c>
    </row>
    <row r="8" spans="1:18" ht="12.75" outlineLevel="1">
      <c r="A8" s="253" t="s">
        <v>325</v>
      </c>
      <c r="B8" s="84"/>
      <c r="C8" s="145"/>
      <c r="D8" s="154">
        <f>B8*C8</f>
        <v>0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5">
        <f>SUM(E8:P8)</f>
        <v>0</v>
      </c>
      <c r="R8" s="78" t="s">
        <v>326</v>
      </c>
    </row>
    <row r="9" spans="1:17" ht="12.75">
      <c r="A9" s="204" t="s">
        <v>105</v>
      </c>
      <c r="B9" s="205"/>
      <c r="C9" s="205"/>
      <c r="D9" s="144">
        <f aca="true" t="shared" si="1" ref="D9:Q9">SUM(D10:D11)</f>
        <v>155822.304</v>
      </c>
      <c r="E9" s="144">
        <f t="shared" si="1"/>
        <v>0</v>
      </c>
      <c r="F9" s="144">
        <f t="shared" si="1"/>
        <v>0</v>
      </c>
      <c r="G9" s="144">
        <f t="shared" si="1"/>
        <v>0</v>
      </c>
      <c r="H9" s="144">
        <f t="shared" si="1"/>
        <v>0</v>
      </c>
      <c r="I9" s="144">
        <f t="shared" si="1"/>
        <v>0</v>
      </c>
      <c r="J9" s="144">
        <f t="shared" si="1"/>
        <v>0</v>
      </c>
      <c r="K9" s="144">
        <f t="shared" si="1"/>
        <v>0</v>
      </c>
      <c r="L9" s="144">
        <f t="shared" si="1"/>
        <v>46746.6912</v>
      </c>
      <c r="M9" s="144">
        <f t="shared" si="1"/>
        <v>0</v>
      </c>
      <c r="N9" s="144">
        <f t="shared" si="1"/>
        <v>77911.152</v>
      </c>
      <c r="O9" s="144">
        <f t="shared" si="1"/>
        <v>0</v>
      </c>
      <c r="P9" s="144">
        <f t="shared" si="1"/>
        <v>31164.460800000004</v>
      </c>
      <c r="Q9" s="144">
        <f t="shared" si="1"/>
        <v>155822.304</v>
      </c>
    </row>
    <row r="10" spans="1:19" ht="12.75" outlineLevel="1">
      <c r="A10" s="253" t="s">
        <v>366</v>
      </c>
      <c r="B10" s="145">
        <v>1</v>
      </c>
      <c r="C10" s="145">
        <f>5100*1.2*Исх!$C$6</f>
        <v>153061.2</v>
      </c>
      <c r="D10" s="154">
        <f>B10*C10</f>
        <v>153061.2</v>
      </c>
      <c r="E10" s="154"/>
      <c r="F10" s="154"/>
      <c r="G10" s="154"/>
      <c r="H10" s="154"/>
      <c r="I10" s="154"/>
      <c r="J10" s="154"/>
      <c r="K10" s="154"/>
      <c r="L10" s="154">
        <f>$D10*0.3</f>
        <v>45918.36</v>
      </c>
      <c r="M10" s="154"/>
      <c r="N10" s="154">
        <f>$D10*0.5</f>
        <v>76530.6</v>
      </c>
      <c r="O10" s="154"/>
      <c r="P10" s="154">
        <f>$D10*0.2</f>
        <v>30612.240000000005</v>
      </c>
      <c r="Q10" s="155">
        <f>SUM(E10:P10)</f>
        <v>153061.2</v>
      </c>
      <c r="S10" s="291" t="s">
        <v>327</v>
      </c>
    </row>
    <row r="11" spans="1:19" ht="12.75" outlineLevel="1">
      <c r="A11" s="253" t="s">
        <v>328</v>
      </c>
      <c r="B11" s="145">
        <v>1</v>
      </c>
      <c r="C11" s="145">
        <f>92*1.2*Исх!$C$6</f>
        <v>2761.104</v>
      </c>
      <c r="D11" s="154">
        <f>B11*C11</f>
        <v>2761.104</v>
      </c>
      <c r="E11" s="154"/>
      <c r="F11" s="154"/>
      <c r="G11" s="154"/>
      <c r="H11" s="154"/>
      <c r="I11" s="154"/>
      <c r="J11" s="154"/>
      <c r="K11" s="154"/>
      <c r="L11" s="154">
        <f>$D11*0.3</f>
        <v>828.3312</v>
      </c>
      <c r="M11" s="154"/>
      <c r="N11" s="154">
        <f>$D11*0.5</f>
        <v>1380.552</v>
      </c>
      <c r="O11" s="154"/>
      <c r="P11" s="154">
        <f>$D11*0.2</f>
        <v>552.2207999999999</v>
      </c>
      <c r="Q11" s="155">
        <f>SUM(E11:P11)</f>
        <v>2761.104</v>
      </c>
      <c r="S11" s="291" t="s">
        <v>329</v>
      </c>
    </row>
    <row r="12" spans="1:17" ht="12.75">
      <c r="A12" s="204" t="s">
        <v>190</v>
      </c>
      <c r="B12" s="205"/>
      <c r="C12" s="205"/>
      <c r="D12" s="144">
        <f aca="true" t="shared" si="2" ref="D12:Q12">SUM(D13:D14)</f>
        <v>8500</v>
      </c>
      <c r="E12" s="144">
        <f t="shared" si="2"/>
        <v>0</v>
      </c>
      <c r="F12" s="144">
        <f t="shared" si="2"/>
        <v>0</v>
      </c>
      <c r="G12" s="144">
        <f t="shared" si="2"/>
        <v>0</v>
      </c>
      <c r="H12" s="144">
        <f t="shared" si="2"/>
        <v>0</v>
      </c>
      <c r="I12" s="144">
        <f t="shared" si="2"/>
        <v>0</v>
      </c>
      <c r="J12" s="144">
        <f t="shared" si="2"/>
        <v>0</v>
      </c>
      <c r="K12" s="144">
        <f t="shared" si="2"/>
        <v>0</v>
      </c>
      <c r="L12" s="144">
        <f t="shared" si="2"/>
        <v>0</v>
      </c>
      <c r="M12" s="144">
        <f t="shared" si="2"/>
        <v>0</v>
      </c>
      <c r="N12" s="144">
        <f t="shared" si="2"/>
        <v>0</v>
      </c>
      <c r="O12" s="144">
        <f t="shared" si="2"/>
        <v>0</v>
      </c>
      <c r="P12" s="144">
        <f t="shared" si="2"/>
        <v>8500</v>
      </c>
      <c r="Q12" s="144">
        <f t="shared" si="2"/>
        <v>8500</v>
      </c>
    </row>
    <row r="13" spans="1:17" ht="12.75" outlineLevel="1">
      <c r="A13" s="280" t="s">
        <v>330</v>
      </c>
      <c r="B13" s="145">
        <v>1</v>
      </c>
      <c r="C13" s="145">
        <v>8500</v>
      </c>
      <c r="D13" s="154">
        <f>B13*C13</f>
        <v>8500</v>
      </c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>
        <f>D13</f>
        <v>8500</v>
      </c>
      <c r="Q13" s="155">
        <f>SUM(E13:P13)</f>
        <v>8500</v>
      </c>
    </row>
    <row r="14" spans="1:17" ht="12.75" hidden="1" outlineLevel="1">
      <c r="A14" s="280"/>
      <c r="B14" s="145"/>
      <c r="C14" s="145"/>
      <c r="D14" s="154">
        <f>B14*C14</f>
        <v>0</v>
      </c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5">
        <f>SUM(E14:P14)</f>
        <v>0</v>
      </c>
    </row>
    <row r="15" spans="1:17" ht="12.75" collapsed="1">
      <c r="A15" s="141" t="s">
        <v>0</v>
      </c>
      <c r="B15" s="168"/>
      <c r="C15" s="168"/>
      <c r="D15" s="168">
        <f aca="true" t="shared" si="3" ref="D15:Q15">D5+D9+D12</f>
        <v>249861.304</v>
      </c>
      <c r="E15" s="168">
        <f t="shared" si="3"/>
        <v>0</v>
      </c>
      <c r="F15" s="168">
        <f t="shared" si="3"/>
        <v>0</v>
      </c>
      <c r="G15" s="168">
        <f t="shared" si="3"/>
        <v>0</v>
      </c>
      <c r="H15" s="168">
        <f t="shared" si="3"/>
        <v>0</v>
      </c>
      <c r="I15" s="168">
        <f t="shared" si="3"/>
        <v>0</v>
      </c>
      <c r="J15" s="168">
        <f t="shared" si="3"/>
        <v>0</v>
      </c>
      <c r="K15" s="168">
        <f t="shared" si="3"/>
        <v>0</v>
      </c>
      <c r="L15" s="168">
        <f t="shared" si="3"/>
        <v>70381.4412</v>
      </c>
      <c r="M15" s="168">
        <f t="shared" si="3"/>
        <v>20634.75</v>
      </c>
      <c r="N15" s="168">
        <f t="shared" si="3"/>
        <v>98545.902</v>
      </c>
      <c r="O15" s="168">
        <f t="shared" si="3"/>
        <v>20634.75</v>
      </c>
      <c r="P15" s="168">
        <f t="shared" si="3"/>
        <v>39664.4608</v>
      </c>
      <c r="Q15" s="168">
        <f t="shared" si="3"/>
        <v>249861.304</v>
      </c>
    </row>
    <row r="16" ht="12.75">
      <c r="D16" s="201">
        <f>D15-Q15</f>
        <v>0</v>
      </c>
    </row>
    <row r="17" spans="2:4" ht="12.75">
      <c r="B17" s="147" t="s">
        <v>59</v>
      </c>
      <c r="C17" s="201" t="s">
        <v>43</v>
      </c>
      <c r="D17" s="206" t="s">
        <v>98</v>
      </c>
    </row>
    <row r="18" spans="1:4" ht="12.75">
      <c r="A18" s="78" t="s">
        <v>109</v>
      </c>
      <c r="B18" s="201">
        <f>D5</f>
        <v>85539</v>
      </c>
      <c r="C18" s="201">
        <f>B18/Исх!$C$19</f>
        <v>76374.10714285713</v>
      </c>
      <c r="D18" s="169">
        <f>B18/Исх!$C$5</f>
        <v>559.6270853778215</v>
      </c>
    </row>
    <row r="19" spans="1:4" ht="12.75">
      <c r="A19" s="78" t="s">
        <v>105</v>
      </c>
      <c r="B19" s="201">
        <f>D9</f>
        <v>155822.304</v>
      </c>
      <c r="C19" s="201">
        <f>B19/Исх!$C$19</f>
        <v>139127.05714285714</v>
      </c>
      <c r="D19" s="169">
        <f>B19/Исх!$C$5</f>
        <v>1019.4458881256135</v>
      </c>
    </row>
    <row r="20" spans="1:12" ht="12.75">
      <c r="A20" s="78" t="s">
        <v>190</v>
      </c>
      <c r="B20" s="201">
        <f>D12</f>
        <v>8500</v>
      </c>
      <c r="C20" s="201">
        <f>B20/Исх!$C$19</f>
        <v>7589.285714285714</v>
      </c>
      <c r="D20" s="169">
        <f>B20/Исх!$C$5</f>
        <v>55.610075237160615</v>
      </c>
      <c r="L20" s="173"/>
    </row>
    <row r="21" spans="1:4" ht="12.75">
      <c r="A21" s="62" t="s">
        <v>89</v>
      </c>
      <c r="B21" s="207">
        <f>SUM(B18:B20)</f>
        <v>249861.304</v>
      </c>
      <c r="C21" s="207">
        <f>SUM(C18:C20)</f>
        <v>223090.44999999998</v>
      </c>
      <c r="D21" s="207">
        <f>SUM(D18:D20)</f>
        <v>1634.6830487405955</v>
      </c>
    </row>
    <row r="24" spans="1:17" ht="12.75">
      <c r="A24" s="78" t="s">
        <v>257</v>
      </c>
      <c r="D24" s="201">
        <f>Q24</f>
        <v>0</v>
      </c>
      <c r="L24" s="201">
        <f>K24+L5</f>
        <v>23634.75</v>
      </c>
      <c r="M24" s="201">
        <f>L24+M5</f>
        <v>44269.5</v>
      </c>
      <c r="N24" s="201">
        <f>M24+N5</f>
        <v>64904.25</v>
      </c>
      <c r="O24" s="201">
        <f>N24+O5</f>
        <v>85539</v>
      </c>
      <c r="Q24" s="201">
        <f>P24</f>
        <v>0</v>
      </c>
    </row>
    <row r="25" spans="1:17" ht="12.75">
      <c r="A25" s="78" t="s">
        <v>278</v>
      </c>
      <c r="D25" s="201">
        <f>Q25</f>
        <v>0</v>
      </c>
      <c r="L25" s="201">
        <f>K25+L9</f>
        <v>46746.6912</v>
      </c>
      <c r="M25" s="201">
        <f>L25+M9</f>
        <v>46746.6912</v>
      </c>
      <c r="N25" s="201">
        <f>M25+N9</f>
        <v>124657.8432</v>
      </c>
      <c r="O25" s="201">
        <f>N25+O9</f>
        <v>124657.8432</v>
      </c>
      <c r="Q25" s="201">
        <f>P25</f>
        <v>0</v>
      </c>
    </row>
    <row r="26" spans="1:17" ht="12.75">
      <c r="A26" s="78" t="s">
        <v>279</v>
      </c>
      <c r="D26" s="201">
        <f>Q26</f>
        <v>249861.304</v>
      </c>
      <c r="O26" s="201"/>
      <c r="P26" s="201">
        <f>D5+D9+D12</f>
        <v>249861.304</v>
      </c>
      <c r="Q26" s="201">
        <f>SUM(E26:P26)</f>
        <v>249861.304</v>
      </c>
    </row>
    <row r="27" spans="1:17" ht="12.75">
      <c r="A27" s="78" t="s">
        <v>331</v>
      </c>
      <c r="D27" s="201">
        <f>D26/Исх!$C$19</f>
        <v>223090.44999999998</v>
      </c>
      <c r="P27" s="201">
        <f>P26/Исх!$C$19</f>
        <v>223090.44999999998</v>
      </c>
      <c r="Q27" s="201">
        <f>Q26/Исх!$C$19</f>
        <v>223090.44999999998</v>
      </c>
    </row>
  </sheetData>
  <sheetProtection/>
  <mergeCells count="5">
    <mergeCell ref="E3:P3"/>
    <mergeCell ref="A3:A4"/>
    <mergeCell ref="B3:B4"/>
    <mergeCell ref="C3:C4"/>
    <mergeCell ref="D3:D4"/>
  </mergeCells>
  <hyperlinks>
    <hyperlink ref="S10" r:id="rId1" display="http://asia-business.ru/price/table/index.php?inside_admin=1&amp;div1=1&amp;div2=55&amp;p=14817&amp;ref=yes#14817"/>
    <hyperlink ref="S11" r:id="rId2" display="http://www.asia-business.ru/price/table/index.php?div1=36&amp;div2=95&amp;p=14818&amp;ref=yes#14818"/>
  </hyperlinks>
  <printOptions/>
  <pageMargins left="0.3" right="0.2362204724409449" top="0.7086614173228347" bottom="0.2755905511811024" header="0.5118110236220472" footer="0.1968503937007874"/>
  <pageSetup horizontalDpi="600" verticalDpi="600" orientation="landscape" paperSize="9" scale="96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38.625" style="78" customWidth="1"/>
    <col min="2" max="2" width="7.875" style="78" hidden="1" customWidth="1"/>
    <col min="3" max="3" width="9.75390625" style="78" customWidth="1"/>
    <col min="4" max="16384" width="9.125" style="78" customWidth="1"/>
  </cols>
  <sheetData>
    <row r="1" spans="1:6" ht="12.75">
      <c r="A1" s="62" t="s">
        <v>74</v>
      </c>
      <c r="B1" s="62"/>
      <c r="C1" s="62"/>
      <c r="D1" s="62"/>
      <c r="E1" s="62"/>
      <c r="F1" s="62"/>
    </row>
    <row r="2" spans="1:9" ht="12.75">
      <c r="A2" s="208"/>
      <c r="B2" s="208"/>
      <c r="C2" s="208"/>
      <c r="D2" s="208"/>
      <c r="E2" s="208"/>
      <c r="F2" s="208"/>
      <c r="I2" s="147" t="str">
        <f>Исх!C10</f>
        <v>тыс.тг.</v>
      </c>
    </row>
    <row r="3" spans="1:9" ht="12.75">
      <c r="A3" s="217" t="s">
        <v>9</v>
      </c>
      <c r="B3" s="233">
        <v>2013</v>
      </c>
      <c r="C3" s="233">
        <f aca="true" t="shared" si="0" ref="C3:H3">B3+1</f>
        <v>2014</v>
      </c>
      <c r="D3" s="233">
        <f t="shared" si="0"/>
        <v>2015</v>
      </c>
      <c r="E3" s="233">
        <f t="shared" si="0"/>
        <v>2016</v>
      </c>
      <c r="F3" s="233">
        <f t="shared" si="0"/>
        <v>2017</v>
      </c>
      <c r="G3" s="233">
        <f t="shared" si="0"/>
        <v>2018</v>
      </c>
      <c r="H3" s="233">
        <f t="shared" si="0"/>
        <v>2019</v>
      </c>
      <c r="I3" s="233">
        <f>H3+1</f>
        <v>2020</v>
      </c>
    </row>
    <row r="4" spans="1:9" ht="12.75">
      <c r="A4" s="209" t="s">
        <v>400</v>
      </c>
      <c r="B4" s="210">
        <f>'2-ф2'!P5</f>
        <v>0</v>
      </c>
      <c r="C4" s="210">
        <f>'2-ф2'!AC5</f>
        <v>469497.6</v>
      </c>
      <c r="D4" s="210">
        <f>'2-ф2'!AP5</f>
        <v>837000</v>
      </c>
      <c r="E4" s="210">
        <f>'2-ф2'!AQ5</f>
        <v>907199.9999999998</v>
      </c>
      <c r="F4" s="210">
        <f>'2-ф2'!AR5</f>
        <v>971999.9999999999</v>
      </c>
      <c r="G4" s="210">
        <f>'2-ф2'!AS5</f>
        <v>1036799.9999999999</v>
      </c>
      <c r="H4" s="210">
        <f>'2-ф2'!AT5</f>
        <v>1101599.9999999998</v>
      </c>
      <c r="I4" s="210">
        <f>'2-ф2'!AU5</f>
        <v>1166399.9999999998</v>
      </c>
    </row>
    <row r="5" spans="1:9" ht="12.75">
      <c r="A5" s="209" t="s">
        <v>90</v>
      </c>
      <c r="B5" s="211">
        <f aca="true" t="shared" si="1" ref="B5:H5">B4-B6</f>
        <v>-3504.7893393333343</v>
      </c>
      <c r="C5" s="211">
        <f t="shared" si="1"/>
        <v>44895.507901513134</v>
      </c>
      <c r="D5" s="211">
        <f t="shared" si="1"/>
        <v>151059.87114388123</v>
      </c>
      <c r="E5" s="211">
        <f t="shared" si="1"/>
        <v>171359.2256587688</v>
      </c>
      <c r="F5" s="211">
        <f t="shared" si="1"/>
        <v>190141.8745985988</v>
      </c>
      <c r="G5" s="211">
        <f t="shared" si="1"/>
        <v>208981.58191145863</v>
      </c>
      <c r="H5" s="211">
        <f t="shared" si="1"/>
        <v>227885.68140742974</v>
      </c>
      <c r="I5" s="211">
        <f>I4-I6</f>
        <v>246802.98459800344</v>
      </c>
    </row>
    <row r="6" spans="1:9" ht="12.75">
      <c r="A6" s="209" t="s">
        <v>401</v>
      </c>
      <c r="B6" s="212">
        <f aca="true" t="shared" si="2" ref="B6:H6">SUM(B7:B8)</f>
        <v>3504.7893393333343</v>
      </c>
      <c r="C6" s="212">
        <f t="shared" si="2"/>
        <v>424602.09209848684</v>
      </c>
      <c r="D6" s="212">
        <f t="shared" si="2"/>
        <v>685940.1288561188</v>
      </c>
      <c r="E6" s="212">
        <f t="shared" si="2"/>
        <v>735840.774341231</v>
      </c>
      <c r="F6" s="212">
        <f t="shared" si="2"/>
        <v>781858.1254014011</v>
      </c>
      <c r="G6" s="212">
        <f t="shared" si="2"/>
        <v>827818.4180885412</v>
      </c>
      <c r="H6" s="212">
        <f t="shared" si="2"/>
        <v>873714.31859257</v>
      </c>
      <c r="I6" s="212">
        <f>SUM(I7:I8)</f>
        <v>919597.0154019963</v>
      </c>
    </row>
    <row r="7" spans="1:9" ht="12.75">
      <c r="A7" s="209" t="s">
        <v>91</v>
      </c>
      <c r="B7" s="210">
        <f>'2-ф2'!P12+'2-ф2'!P11+'2-ф2'!P10</f>
        <v>3504.7893393333343</v>
      </c>
      <c r="C7" s="210">
        <f>'2-ф2'!AC12+'2-ф2'!AC11+'2-ф2'!AC10</f>
        <v>94158.70177118358</v>
      </c>
      <c r="D7" s="210">
        <f>'2-ф2'!AP12+'2-ф2'!AP11+'2-ф2'!AP10</f>
        <v>96839.95517269026</v>
      </c>
      <c r="E7" s="210">
        <f>'2-ф2'!AQ12+'2-ф2'!AQ11+'2-ф2'!AQ10</f>
        <v>97332.19899403118</v>
      </c>
      <c r="F7" s="210">
        <f>'2-ф2'!AR12+'2-ф2'!AR11+'2-ф2'!AR10</f>
        <v>97741.7946722583</v>
      </c>
      <c r="G7" s="210">
        <f>'2-ф2'!AS12+'2-ф2'!AS11+'2-ф2'!AS10</f>
        <v>98094.33197745567</v>
      </c>
      <c r="H7" s="210">
        <f>'2-ф2'!AT12+'2-ф2'!AT11+'2-ф2'!AT10</f>
        <v>98382.4770995417</v>
      </c>
      <c r="I7" s="210">
        <f>'2-ф2'!AU12+'2-ф2'!AU11+'2-ф2'!AU10</f>
        <v>98657.41852702515</v>
      </c>
    </row>
    <row r="8" spans="1:9" ht="12.75">
      <c r="A8" s="209" t="s">
        <v>92</v>
      </c>
      <c r="B8" s="210">
        <f>'2-ф2'!P7</f>
        <v>0</v>
      </c>
      <c r="C8" s="210">
        <f>'2-ф2'!AC7</f>
        <v>330443.39032730326</v>
      </c>
      <c r="D8" s="210">
        <f>'2-ф2'!AP7</f>
        <v>589100.1736834286</v>
      </c>
      <c r="E8" s="210">
        <f>'2-ф2'!AQ7</f>
        <v>638508.5753471998</v>
      </c>
      <c r="F8" s="210">
        <f>'2-ф2'!AR7</f>
        <v>684116.3307291428</v>
      </c>
      <c r="G8" s="210">
        <f>'2-ф2'!AS7</f>
        <v>729724.0861110856</v>
      </c>
      <c r="H8" s="210">
        <f>'2-ф2'!AT7</f>
        <v>775331.8414930283</v>
      </c>
      <c r="I8" s="210">
        <f>'2-ф2'!AU7</f>
        <v>820939.5968749712</v>
      </c>
    </row>
    <row r="9" spans="1:9" ht="12.75">
      <c r="A9" s="209" t="s">
        <v>93</v>
      </c>
      <c r="B9" s="212">
        <f aca="true" t="shared" si="3" ref="B9:H9">B4-B8</f>
        <v>0</v>
      </c>
      <c r="C9" s="212">
        <f t="shared" si="3"/>
        <v>139054.2096726967</v>
      </c>
      <c r="D9" s="212">
        <f t="shared" si="3"/>
        <v>247899.82631657145</v>
      </c>
      <c r="E9" s="212">
        <f t="shared" si="3"/>
        <v>268691.42465279996</v>
      </c>
      <c r="F9" s="212">
        <f t="shared" si="3"/>
        <v>287883.6692708571</v>
      </c>
      <c r="G9" s="212">
        <f t="shared" si="3"/>
        <v>307075.9138889143</v>
      </c>
      <c r="H9" s="212">
        <f t="shared" si="3"/>
        <v>326268.15850697143</v>
      </c>
      <c r="I9" s="212">
        <f>I4-I8</f>
        <v>345460.4031250286</v>
      </c>
    </row>
    <row r="10" spans="1:9" ht="12.75">
      <c r="A10" s="209" t="s">
        <v>75</v>
      </c>
      <c r="B10" s="213" t="e">
        <f aca="true" t="shared" si="4" ref="B10:H10">B9/B4</f>
        <v>#DIV/0!</v>
      </c>
      <c r="C10" s="213">
        <f t="shared" si="4"/>
        <v>0.29617661447619054</v>
      </c>
      <c r="D10" s="213">
        <f t="shared" si="4"/>
        <v>0.2961766144761905</v>
      </c>
      <c r="E10" s="213">
        <f t="shared" si="4"/>
        <v>0.29617661447619054</v>
      </c>
      <c r="F10" s="213">
        <f t="shared" si="4"/>
        <v>0.2961766144761905</v>
      </c>
      <c r="G10" s="213">
        <f t="shared" si="4"/>
        <v>0.2961766144761905</v>
      </c>
      <c r="H10" s="213">
        <f t="shared" si="4"/>
        <v>0.29617661447619054</v>
      </c>
      <c r="I10" s="213">
        <f>I9/I4</f>
        <v>0.29617661447619054</v>
      </c>
    </row>
    <row r="11" spans="1:9" ht="12.75">
      <c r="A11" s="209" t="s">
        <v>94</v>
      </c>
      <c r="B11" s="212" t="e">
        <f aca="true" t="shared" si="5" ref="B11:H11">B7/B10</f>
        <v>#DIV/0!</v>
      </c>
      <c r="C11" s="212">
        <f t="shared" si="5"/>
        <v>317914.0322665581</v>
      </c>
      <c r="D11" s="212">
        <f>D7/D10</f>
        <v>326966.9191943417</v>
      </c>
      <c r="E11" s="212">
        <f t="shared" si="5"/>
        <v>328628.9134142819</v>
      </c>
      <c r="F11" s="212">
        <f t="shared" si="5"/>
        <v>330011.8574355428</v>
      </c>
      <c r="G11" s="212">
        <f t="shared" si="5"/>
        <v>331202.1516315274</v>
      </c>
      <c r="H11" s="212">
        <f t="shared" si="5"/>
        <v>332175.0343913483</v>
      </c>
      <c r="I11" s="212">
        <f>I7/I10</f>
        <v>333103.3366746656</v>
      </c>
    </row>
    <row r="12" spans="1:9" ht="25.5">
      <c r="A12" s="214" t="s">
        <v>76</v>
      </c>
      <c r="B12" s="215" t="e">
        <f aca="true" t="shared" si="6" ref="B12:H12">(B4-B11)/B4</f>
        <v>#DIV/0!</v>
      </c>
      <c r="C12" s="215">
        <f t="shared" si="6"/>
        <v>0.3228633495324404</v>
      </c>
      <c r="D12" s="215">
        <f>(D4-D11)/D4</f>
        <v>0.6093585194810732</v>
      </c>
      <c r="E12" s="215">
        <f t="shared" si="6"/>
        <v>0.6377547250724405</v>
      </c>
      <c r="F12" s="215">
        <f t="shared" si="6"/>
        <v>0.6604816281527338</v>
      </c>
      <c r="G12" s="215">
        <f t="shared" si="6"/>
        <v>0.6805534802936656</v>
      </c>
      <c r="H12" s="215">
        <f t="shared" si="6"/>
        <v>0.6984612977565828</v>
      </c>
      <c r="I12" s="215">
        <f>(I4-I11)/I4</f>
        <v>0.7144175782967545</v>
      </c>
    </row>
    <row r="13" spans="1:9" ht="12.75">
      <c r="A13" s="209" t="s">
        <v>103</v>
      </c>
      <c r="B13" s="216" t="e">
        <f aca="true" t="shared" si="7" ref="B13:H13">100%-B12</f>
        <v>#DIV/0!</v>
      </c>
      <c r="C13" s="216">
        <f t="shared" si="7"/>
        <v>0.6771366504675596</v>
      </c>
      <c r="D13" s="216">
        <f t="shared" si="7"/>
        <v>0.3906414805189268</v>
      </c>
      <c r="E13" s="216">
        <f t="shared" si="7"/>
        <v>0.36224527492755954</v>
      </c>
      <c r="F13" s="216">
        <f t="shared" si="7"/>
        <v>0.3395183718472662</v>
      </c>
      <c r="G13" s="216">
        <f t="shared" si="7"/>
        <v>0.3194465197063344</v>
      </c>
      <c r="H13" s="216">
        <f t="shared" si="7"/>
        <v>0.30153870224341717</v>
      </c>
      <c r="I13" s="216">
        <f>100%-I12</f>
        <v>0.28558242170324555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66"/>
  <sheetViews>
    <sheetView showGridLines="0" zoomScalePageLayoutView="0" workbookViewId="0" topLeftCell="A1">
      <pane ySplit="4" topLeftCell="A5" activePane="bottomLeft" state="frozen"/>
      <selection pane="topLeft" activeCell="A34" sqref="A34"/>
      <selection pane="bottomLeft" activeCell="A29" sqref="A29:IV29"/>
    </sheetView>
  </sheetViews>
  <sheetFormatPr defaultColWidth="9.00390625" defaultRowHeight="12.75"/>
  <cols>
    <col min="1" max="1" width="49.75390625" style="72" customWidth="1"/>
    <col min="2" max="2" width="16.875" style="73" customWidth="1"/>
    <col min="3" max="3" width="12.75390625" style="71" customWidth="1"/>
    <col min="4" max="4" width="8.625" style="71" customWidth="1"/>
    <col min="5" max="8" width="9.125" style="71" customWidth="1"/>
    <col min="9" max="9" width="7.625" style="71" bestFit="1" customWidth="1"/>
    <col min="10" max="10" width="7.125" style="71" customWidth="1"/>
    <col min="11" max="11" width="6.625" style="71" customWidth="1"/>
    <col min="12" max="16384" width="9.125" style="71" customWidth="1"/>
  </cols>
  <sheetData>
    <row r="1" ht="13.5" customHeight="1">
      <c r="A1" s="229" t="s">
        <v>285</v>
      </c>
    </row>
    <row r="2" ht="13.5" customHeight="1">
      <c r="A2" s="229" t="s">
        <v>380</v>
      </c>
    </row>
    <row r="3" ht="13.5" customHeight="1"/>
    <row r="4" spans="1:5" ht="13.5" customHeight="1">
      <c r="A4" s="224" t="s">
        <v>206</v>
      </c>
      <c r="B4" s="254" t="s">
        <v>89</v>
      </c>
      <c r="C4" s="254">
        <v>2013</v>
      </c>
      <c r="D4" s="254">
        <v>2014</v>
      </c>
      <c r="E4" s="254" t="s">
        <v>168</v>
      </c>
    </row>
    <row r="5" spans="1:5" ht="13.5" customHeight="1">
      <c r="A5" s="220" t="s">
        <v>382</v>
      </c>
      <c r="B5" s="221">
        <f>'1-Ф3'!B20</f>
        <v>249861.304</v>
      </c>
      <c r="C5" s="221">
        <f>'1-Ф3'!P20</f>
        <v>249861.304</v>
      </c>
      <c r="D5" s="221">
        <f>'1-Ф3'!AC20</f>
        <v>0</v>
      </c>
      <c r="E5" s="226">
        <f>B5/$B$7</f>
        <v>0.6678058713853651</v>
      </c>
    </row>
    <row r="6" spans="1:5" ht="13.5" customHeight="1">
      <c r="A6" s="220" t="s">
        <v>167</v>
      </c>
      <c r="B6" s="221">
        <f>'1-Ф3'!B26-'1-Ф3'!B20</f>
        <v>124291.29738648084</v>
      </c>
      <c r="C6" s="221">
        <f>'1-Ф3'!P26-'1-Ф3'!P20</f>
        <v>51080.686027775984</v>
      </c>
      <c r="D6" s="221">
        <f>'1-Ф3'!AC26-'1-Ф3'!AC20</f>
        <v>73210.61135870483</v>
      </c>
      <c r="E6" s="226">
        <f>B6/$B$7</f>
        <v>0.33219412861463493</v>
      </c>
    </row>
    <row r="7" spans="1:5" ht="13.5" customHeight="1">
      <c r="A7" s="222" t="s">
        <v>89</v>
      </c>
      <c r="B7" s="223">
        <f>SUM(B5:B6)</f>
        <v>374152.60138648085</v>
      </c>
      <c r="C7" s="223">
        <f>SUM(C5:C6)</f>
        <v>300941.990027776</v>
      </c>
      <c r="D7" s="223">
        <f>SUM(D5:D6)</f>
        <v>73210.61135870483</v>
      </c>
      <c r="E7" s="227">
        <f>SUM(E5:E6)</f>
        <v>1</v>
      </c>
    </row>
    <row r="8" spans="1:2" ht="13.5" customHeight="1">
      <c r="A8" s="74"/>
      <c r="B8" s="75"/>
    </row>
    <row r="9" spans="1:5" ht="13.5" customHeight="1">
      <c r="A9" s="224" t="s">
        <v>207</v>
      </c>
      <c r="B9" s="254" t="s">
        <v>89</v>
      </c>
      <c r="C9" s="254">
        <f>C4</f>
        <v>2013</v>
      </c>
      <c r="D9" s="254">
        <f>D4</f>
        <v>2014</v>
      </c>
      <c r="E9" s="225" t="s">
        <v>168</v>
      </c>
    </row>
    <row r="10" spans="1:9" ht="12.75">
      <c r="A10" s="220" t="s">
        <v>381</v>
      </c>
      <c r="B10" s="221">
        <f>'1-Ф3'!B27</f>
        <v>124291.29738648082</v>
      </c>
      <c r="C10" s="221">
        <f>'1-Ф3'!P27</f>
        <v>51080.68602777599</v>
      </c>
      <c r="D10" s="221">
        <f>'1-Ф3'!AC27</f>
        <v>73210.61135870483</v>
      </c>
      <c r="E10" s="226">
        <f>B10/$B$12</f>
        <v>0.3321941286146348</v>
      </c>
      <c r="H10" s="300">
        <f>B10/Исх!$C$5</f>
        <v>813.1586351748826</v>
      </c>
      <c r="I10" s="301" t="s">
        <v>98</v>
      </c>
    </row>
    <row r="11" spans="1:9" ht="13.5" customHeight="1">
      <c r="A11" s="220" t="s">
        <v>104</v>
      </c>
      <c r="B11" s="221">
        <f>'1-Ф3'!B28</f>
        <v>249861.304</v>
      </c>
      <c r="C11" s="221">
        <f>'1-Ф3'!P28</f>
        <v>249861.304</v>
      </c>
      <c r="D11" s="221">
        <f>'1-Ф3'!AC28</f>
        <v>0</v>
      </c>
      <c r="E11" s="226">
        <f>B11/$B$12</f>
        <v>0.6678058713853651</v>
      </c>
      <c r="H11" s="300">
        <f>B11/Исх!$C$5</f>
        <v>1634.6830487405955</v>
      </c>
      <c r="I11" s="301" t="s">
        <v>98</v>
      </c>
    </row>
    <row r="12" spans="1:5" ht="12.75">
      <c r="A12" s="222" t="s">
        <v>89</v>
      </c>
      <c r="B12" s="223">
        <f>SUM(B10:B11)</f>
        <v>374152.60138648085</v>
      </c>
      <c r="C12" s="223">
        <f>SUM(C10:C11)</f>
        <v>300941.990027776</v>
      </c>
      <c r="D12" s="223">
        <f>SUM(D10:D11)</f>
        <v>73210.61135870483</v>
      </c>
      <c r="E12" s="227">
        <f>SUM(E10:E11)</f>
        <v>0.9999999999999999</v>
      </c>
    </row>
    <row r="13" spans="1:2" ht="12.75">
      <c r="A13" s="77"/>
      <c r="B13" s="76"/>
    </row>
    <row r="14" spans="1:2" ht="12.75">
      <c r="A14" s="299" t="s">
        <v>287</v>
      </c>
      <c r="B14" s="76"/>
    </row>
    <row r="15" spans="1:2" ht="12.75">
      <c r="A15" s="273" t="s">
        <v>286</v>
      </c>
      <c r="B15" s="274" t="s">
        <v>8</v>
      </c>
    </row>
    <row r="16" spans="1:2" ht="12.75">
      <c r="A16" s="220" t="s">
        <v>169</v>
      </c>
      <c r="B16" s="221" t="s">
        <v>170</v>
      </c>
    </row>
    <row r="17" spans="1:2" ht="12.75">
      <c r="A17" s="220" t="s">
        <v>171</v>
      </c>
      <c r="B17" s="278">
        <f>Исх!C48</f>
        <v>0.07</v>
      </c>
    </row>
    <row r="18" spans="1:2" ht="12.75">
      <c r="A18" s="220" t="s">
        <v>194</v>
      </c>
      <c r="B18" s="228">
        <f>Исх!C49</f>
        <v>7</v>
      </c>
    </row>
    <row r="19" spans="1:2" ht="12.75">
      <c r="A19" s="220" t="s">
        <v>172</v>
      </c>
      <c r="B19" s="221" t="s">
        <v>173</v>
      </c>
    </row>
    <row r="20" spans="1:2" ht="12.75">
      <c r="A20" s="220" t="s">
        <v>174</v>
      </c>
      <c r="B20" s="221">
        <f>Исх!C50</f>
        <v>9</v>
      </c>
    </row>
    <row r="21" spans="1:2" ht="12.75">
      <c r="A21" s="220" t="s">
        <v>175</v>
      </c>
      <c r="B21" s="221">
        <f>Исх!C51</f>
        <v>9</v>
      </c>
    </row>
    <row r="22" spans="1:2" ht="12.75">
      <c r="A22" s="220" t="s">
        <v>399</v>
      </c>
      <c r="B22" s="221" t="s">
        <v>260</v>
      </c>
    </row>
    <row r="24" spans="1:2" ht="12.75">
      <c r="A24" s="299" t="s">
        <v>261</v>
      </c>
      <c r="B24" s="71"/>
    </row>
    <row r="25" spans="1:8" ht="12.75">
      <c r="A25" s="224" t="s">
        <v>28</v>
      </c>
      <c r="B25" s="290">
        <v>2014</v>
      </c>
      <c r="C25" s="254">
        <f aca="true" t="shared" si="0" ref="C25:H25">B25+1</f>
        <v>2015</v>
      </c>
      <c r="D25" s="290">
        <f t="shared" si="0"/>
        <v>2016</v>
      </c>
      <c r="E25" s="290">
        <f t="shared" si="0"/>
        <v>2017</v>
      </c>
      <c r="F25" s="290">
        <f t="shared" si="0"/>
        <v>2018</v>
      </c>
      <c r="G25" s="290">
        <f t="shared" si="0"/>
        <v>2019</v>
      </c>
      <c r="H25" s="290">
        <f t="shared" si="0"/>
        <v>2020</v>
      </c>
    </row>
    <row r="26" spans="1:8" ht="12.75">
      <c r="A26" s="220" t="s">
        <v>288</v>
      </c>
      <c r="B26" s="221">
        <f>'2-ф2'!AC5</f>
        <v>469497.6</v>
      </c>
      <c r="C26" s="221">
        <f>'2-ф2'!AP5</f>
        <v>837000</v>
      </c>
      <c r="D26" s="221">
        <f>'2-ф2'!AQ5</f>
        <v>907199.9999999998</v>
      </c>
      <c r="E26" s="221">
        <f>'2-ф2'!AR5</f>
        <v>971999.9999999999</v>
      </c>
      <c r="F26" s="221">
        <f>'2-ф2'!AS5</f>
        <v>1036799.9999999999</v>
      </c>
      <c r="G26" s="221">
        <f>'2-ф2'!AT5</f>
        <v>1101599.9999999998</v>
      </c>
      <c r="H26" s="221">
        <f>'2-ф2'!AU5</f>
        <v>1166399.9999999998</v>
      </c>
    </row>
    <row r="27" spans="1:8" ht="12.75">
      <c r="A27" s="220" t="s">
        <v>289</v>
      </c>
      <c r="B27" s="221">
        <f>'2-ф2'!AC9</f>
        <v>139054.2096726967</v>
      </c>
      <c r="C27" s="221">
        <f>'2-ф2'!AP9</f>
        <v>247899.82631657145</v>
      </c>
      <c r="D27" s="221">
        <f>'2-ф2'!AQ9</f>
        <v>268691.42465279996</v>
      </c>
      <c r="E27" s="221">
        <f>'2-ф2'!AR9</f>
        <v>287883.6692708571</v>
      </c>
      <c r="F27" s="221">
        <f>'2-ф2'!AS9</f>
        <v>307075.9138889143</v>
      </c>
      <c r="G27" s="221">
        <f>'2-ф2'!AT9</f>
        <v>326268.15850697143</v>
      </c>
      <c r="H27" s="221">
        <f>'2-ф2'!AU9</f>
        <v>345460.4031250286</v>
      </c>
    </row>
    <row r="28" spans="1:8" ht="12.75">
      <c r="A28" s="220" t="s">
        <v>290</v>
      </c>
      <c r="B28" s="221">
        <f>'2-ф2'!AC15</f>
        <v>36617.36418907715</v>
      </c>
      <c r="C28" s="221">
        <f>'2-ф2'!AP15</f>
        <v>120847.89691510495</v>
      </c>
      <c r="D28" s="221">
        <f>'2-ф2'!AQ15</f>
        <v>137087.38052701502</v>
      </c>
      <c r="E28" s="221">
        <f>'2-ф2'!AR15</f>
        <v>152113.49967887904</v>
      </c>
      <c r="F28" s="221">
        <f>'2-ф2'!AS15</f>
        <v>167185.26552916688</v>
      </c>
      <c r="G28" s="221">
        <f>'2-ф2'!AT15</f>
        <v>182308.54512594378</v>
      </c>
      <c r="H28" s="221">
        <f>'2-ф2'!AU15</f>
        <v>197442.38767840274</v>
      </c>
    </row>
    <row r="29" spans="1:8" ht="12.75">
      <c r="A29" s="220" t="s">
        <v>291</v>
      </c>
      <c r="B29" s="226">
        <f>B28/B26</f>
        <v>0.07799265467827131</v>
      </c>
      <c r="C29" s="226">
        <f aca="true" t="shared" si="1" ref="C29:H29">C28/C26</f>
        <v>0.14438219464170246</v>
      </c>
      <c r="D29" s="226">
        <f t="shared" si="1"/>
        <v>0.15111042827051924</v>
      </c>
      <c r="E29" s="226">
        <f t="shared" si="1"/>
        <v>0.15649537003999903</v>
      </c>
      <c r="F29" s="226">
        <f t="shared" si="1"/>
        <v>0.16125122061069339</v>
      </c>
      <c r="G29" s="226">
        <f t="shared" si="1"/>
        <v>0.16549432200975292</v>
      </c>
      <c r="H29" s="226">
        <f t="shared" si="1"/>
        <v>0.1692750237297692</v>
      </c>
    </row>
    <row r="30" spans="1:8" ht="12.75">
      <c r="A30" s="222" t="s">
        <v>383</v>
      </c>
      <c r="B30" s="223">
        <f>'1-Ф3'!AC33</f>
        <v>66520.79560335966</v>
      </c>
      <c r="C30" s="223">
        <f>'1-Ф3'!AP33</f>
        <v>129472.42435903399</v>
      </c>
      <c r="D30" s="223">
        <f>'1-Ф3'!AQ33</f>
        <v>118382.99848442424</v>
      </c>
      <c r="E30" s="223">
        <f>'1-Ф3'!AR33</f>
        <v>130628.29002521065</v>
      </c>
      <c r="F30" s="223">
        <f>'1-Ф3'!AS33</f>
        <v>142718.20201156894</v>
      </c>
      <c r="G30" s="223">
        <f>'1-Ф3'!AT33</f>
        <v>154644.0692874912</v>
      </c>
      <c r="H30" s="223">
        <f>'1-Ф3'!AU33</f>
        <v>176842.7295548381</v>
      </c>
    </row>
    <row r="32" spans="1:2" ht="12.75">
      <c r="A32" s="299" t="s">
        <v>292</v>
      </c>
      <c r="B32" s="71"/>
    </row>
    <row r="33" spans="1:2" ht="12.75">
      <c r="A33" s="224" t="s">
        <v>384</v>
      </c>
      <c r="B33" s="290">
        <f>'1-Ф3'!AZ34</f>
        <v>2017</v>
      </c>
    </row>
    <row r="34" spans="1:2" ht="12.75">
      <c r="A34" s="220" t="s">
        <v>176</v>
      </c>
      <c r="B34" s="226">
        <f>'1-Ф3'!AZ47</f>
        <v>0.23601117168101848</v>
      </c>
    </row>
    <row r="35" spans="1:2" ht="12.75">
      <c r="A35" s="220" t="s">
        <v>177</v>
      </c>
      <c r="B35" s="221">
        <f>'1-Ф3'!AZ45</f>
        <v>102399.16670427227</v>
      </c>
    </row>
    <row r="36" spans="1:2" ht="12.75">
      <c r="A36" s="220" t="s">
        <v>385</v>
      </c>
      <c r="B36" s="228">
        <f>'1-Ф3'!AZ46</f>
        <v>1.3077658754275496</v>
      </c>
    </row>
    <row r="37" spans="1:2" ht="12.75">
      <c r="A37" s="220" t="s">
        <v>178</v>
      </c>
      <c r="B37" s="228">
        <f>'1-Ф3'!B48</f>
        <v>2.5653589914213653</v>
      </c>
    </row>
    <row r="38" spans="1:2" ht="12.75">
      <c r="A38" s="220" t="s">
        <v>179</v>
      </c>
      <c r="B38" s="228">
        <f>'1-Ф3'!B49</f>
        <v>3.0791292843715308</v>
      </c>
    </row>
    <row r="40" ht="12.75">
      <c r="A40" s="229" t="s">
        <v>293</v>
      </c>
    </row>
    <row r="41" spans="1:8" ht="12.75">
      <c r="A41" s="224" t="s">
        <v>28</v>
      </c>
      <c r="B41" s="290">
        <v>2014</v>
      </c>
      <c r="C41" s="225">
        <f aca="true" t="shared" si="2" ref="C41:H41">B41+1</f>
        <v>2015</v>
      </c>
      <c r="D41" s="290">
        <f t="shared" si="2"/>
        <v>2016</v>
      </c>
      <c r="E41" s="290">
        <f t="shared" si="2"/>
        <v>2017</v>
      </c>
      <c r="F41" s="290">
        <f t="shared" si="2"/>
        <v>2018</v>
      </c>
      <c r="G41" s="290">
        <f t="shared" si="2"/>
        <v>2019</v>
      </c>
      <c r="H41" s="290">
        <f t="shared" si="2"/>
        <v>2020</v>
      </c>
    </row>
    <row r="42" spans="1:8" ht="12.75">
      <c r="A42" s="220" t="s">
        <v>201</v>
      </c>
      <c r="B42" s="226">
        <f>Производство!AC6</f>
        <v>0.43333333333333335</v>
      </c>
      <c r="C42" s="226">
        <f>Производство!AP6</f>
        <v>0.6458333333333335</v>
      </c>
      <c r="D42" s="226">
        <f>Производство!AQ6</f>
        <v>0.7</v>
      </c>
      <c r="E42" s="226">
        <f>Производство!AR6</f>
        <v>0.75</v>
      </c>
      <c r="F42" s="226">
        <f>Производство!AS6</f>
        <v>0.8</v>
      </c>
      <c r="G42" s="226">
        <f>Производство!AT6</f>
        <v>0.85</v>
      </c>
      <c r="H42" s="226">
        <f>Производство!AU6</f>
        <v>0.9</v>
      </c>
    </row>
    <row r="43" spans="1:8" ht="12.75">
      <c r="A43" s="220" t="s">
        <v>386</v>
      </c>
      <c r="B43" s="221">
        <f>Производство!AC7</f>
        <v>374.40000000000003</v>
      </c>
      <c r="C43" s="221">
        <f>Производство!AP7</f>
        <v>558.0000000000001</v>
      </c>
      <c r="D43" s="221">
        <f>Производство!AQ7</f>
        <v>604.8</v>
      </c>
      <c r="E43" s="221">
        <f>Производство!AR7</f>
        <v>648</v>
      </c>
      <c r="F43" s="221">
        <f>Производство!AS7</f>
        <v>691.2</v>
      </c>
      <c r="G43" s="221">
        <f>Производство!AT7</f>
        <v>734.4</v>
      </c>
      <c r="H43" s="221">
        <f>Производство!AU7</f>
        <v>777.5999999999999</v>
      </c>
    </row>
    <row r="44" spans="1:8" ht="12.75">
      <c r="A44" s="220" t="s">
        <v>387</v>
      </c>
      <c r="B44" s="221">
        <f>B43*Исх!$C$29</f>
        <v>3744.0000000000005</v>
      </c>
      <c r="C44" s="221">
        <f>C43*Исх!$C$29</f>
        <v>5580.000000000001</v>
      </c>
      <c r="D44" s="221">
        <f>D43*Исх!$C$29</f>
        <v>6048</v>
      </c>
      <c r="E44" s="221">
        <f>E43*Исх!$C$29</f>
        <v>6480</v>
      </c>
      <c r="F44" s="221">
        <f>F43*Исх!$C$29</f>
        <v>6912</v>
      </c>
      <c r="G44" s="221">
        <f>G43*Исх!$C$29</f>
        <v>7344</v>
      </c>
      <c r="H44" s="221">
        <f>H43*Исх!$C$29</f>
        <v>7775.999999999999</v>
      </c>
    </row>
    <row r="46" ht="12.75">
      <c r="A46" s="229" t="s">
        <v>180</v>
      </c>
    </row>
    <row r="47" spans="1:10" ht="12.75">
      <c r="A47" s="367" t="s">
        <v>181</v>
      </c>
      <c r="B47" s="369" t="s">
        <v>303</v>
      </c>
      <c r="C47" s="369"/>
      <c r="D47" s="369"/>
      <c r="E47" s="369"/>
      <c r="F47" s="369"/>
      <c r="G47" s="369"/>
      <c r="H47" s="370" t="s">
        <v>388</v>
      </c>
      <c r="I47" s="371"/>
      <c r="J47" s="372"/>
    </row>
    <row r="48" spans="1:10" ht="12.75">
      <c r="A48" s="368"/>
      <c r="B48" s="290" t="s">
        <v>294</v>
      </c>
      <c r="C48" s="290" t="s">
        <v>295</v>
      </c>
      <c r="D48" s="290" t="s">
        <v>296</v>
      </c>
      <c r="E48" s="290" t="s">
        <v>297</v>
      </c>
      <c r="F48" s="290" t="s">
        <v>298</v>
      </c>
      <c r="G48" s="290" t="s">
        <v>299</v>
      </c>
      <c r="H48" s="290" t="s">
        <v>300</v>
      </c>
      <c r="I48" s="290" t="s">
        <v>301</v>
      </c>
      <c r="J48" s="290" t="s">
        <v>302</v>
      </c>
    </row>
    <row r="49" spans="1:10" ht="25.5">
      <c r="A49" s="230" t="s">
        <v>262</v>
      </c>
      <c r="B49" s="231"/>
      <c r="C49" s="226"/>
      <c r="D49" s="226"/>
      <c r="E49" s="226"/>
      <c r="F49" s="226"/>
      <c r="G49" s="226"/>
      <c r="H49" s="226"/>
      <c r="I49" s="226"/>
      <c r="J49" s="226"/>
    </row>
    <row r="50" spans="1:10" ht="12.75">
      <c r="A50" s="220" t="s">
        <v>182</v>
      </c>
      <c r="B50" s="231"/>
      <c r="C50" s="231"/>
      <c r="D50" s="226"/>
      <c r="E50" s="226"/>
      <c r="F50" s="226"/>
      <c r="G50" s="226"/>
      <c r="H50" s="226"/>
      <c r="I50" s="226"/>
      <c r="J50" s="226"/>
    </row>
    <row r="51" spans="1:10" ht="12.75">
      <c r="A51" s="220" t="s">
        <v>183</v>
      </c>
      <c r="B51" s="226"/>
      <c r="C51" s="231"/>
      <c r="D51" s="226"/>
      <c r="E51" s="226"/>
      <c r="F51" s="226"/>
      <c r="G51" s="226"/>
      <c r="H51" s="226"/>
      <c r="I51" s="226"/>
      <c r="J51" s="226"/>
    </row>
    <row r="52" spans="1:10" ht="12.75">
      <c r="A52" s="220" t="s">
        <v>389</v>
      </c>
      <c r="B52" s="221"/>
      <c r="C52" s="231"/>
      <c r="D52" s="231"/>
      <c r="E52" s="231"/>
      <c r="F52" s="231"/>
      <c r="G52" s="226"/>
      <c r="H52" s="226"/>
      <c r="I52" s="226"/>
      <c r="J52" s="226"/>
    </row>
    <row r="53" spans="1:10" ht="12.75">
      <c r="A53" s="220" t="s">
        <v>391</v>
      </c>
      <c r="B53" s="221"/>
      <c r="C53" s="231"/>
      <c r="D53" s="226"/>
      <c r="E53" s="231"/>
      <c r="F53" s="226"/>
      <c r="G53" s="231"/>
      <c r="H53" s="226"/>
      <c r="I53" s="226"/>
      <c r="J53" s="226"/>
    </row>
    <row r="54" spans="1:10" ht="12.75">
      <c r="A54" s="220" t="s">
        <v>394</v>
      </c>
      <c r="B54" s="221"/>
      <c r="C54" s="231"/>
      <c r="D54" s="231"/>
      <c r="E54" s="231"/>
      <c r="F54" s="231"/>
      <c r="G54" s="231"/>
      <c r="H54" s="226"/>
      <c r="I54" s="226"/>
      <c r="J54" s="226"/>
    </row>
    <row r="55" spans="1:10" ht="12.75">
      <c r="A55" s="220" t="s">
        <v>395</v>
      </c>
      <c r="B55" s="221"/>
      <c r="C55" s="226"/>
      <c r="D55" s="226"/>
      <c r="E55" s="226"/>
      <c r="F55" s="226"/>
      <c r="G55" s="231"/>
      <c r="H55" s="226"/>
      <c r="I55" s="226"/>
      <c r="J55" s="226"/>
    </row>
    <row r="56" spans="1:10" ht="12.75">
      <c r="A56" s="220" t="s">
        <v>392</v>
      </c>
      <c r="B56" s="221"/>
      <c r="C56" s="226"/>
      <c r="D56" s="226"/>
      <c r="E56" s="226"/>
      <c r="F56" s="226"/>
      <c r="G56" s="226"/>
      <c r="H56" s="231"/>
      <c r="I56" s="231"/>
      <c r="J56" s="226"/>
    </row>
    <row r="57" spans="1:10" ht="12.75">
      <c r="A57" s="220" t="s">
        <v>393</v>
      </c>
      <c r="B57" s="221"/>
      <c r="C57" s="221"/>
      <c r="D57" s="226"/>
      <c r="E57" s="226"/>
      <c r="F57" s="226"/>
      <c r="G57" s="226"/>
      <c r="H57" s="226"/>
      <c r="I57" s="226"/>
      <c r="J57" s="231"/>
    </row>
    <row r="59" ht="12.75">
      <c r="A59" s="229" t="s">
        <v>186</v>
      </c>
    </row>
    <row r="61" spans="1:2" ht="12.75">
      <c r="A61" s="273" t="s">
        <v>188</v>
      </c>
      <c r="B61" s="274" t="s">
        <v>189</v>
      </c>
    </row>
    <row r="62" spans="1:2" ht="12.75">
      <c r="A62" s="220" t="s">
        <v>41</v>
      </c>
      <c r="B62" s="221">
        <f>'1-Ф3'!B16</f>
        <v>177821.14950291347</v>
      </c>
    </row>
    <row r="63" spans="1:2" ht="12.75">
      <c r="A63" s="220" t="s">
        <v>215</v>
      </c>
      <c r="B63" s="221">
        <f>'1-Ф3'!B15</f>
        <v>247524.3875760641</v>
      </c>
    </row>
    <row r="64" spans="1:2" ht="12.75">
      <c r="A64" s="220" t="s">
        <v>187</v>
      </c>
      <c r="B64" s="221">
        <f>(ФОТ!K29-ФОТ!J29)*12*7</f>
        <v>77881.02000000005</v>
      </c>
    </row>
    <row r="65" spans="1:2" ht="12.75">
      <c r="A65" s="220" t="s">
        <v>195</v>
      </c>
      <c r="B65" s="221">
        <f>SUM(Пост!C26:I26)*12</f>
        <v>6364.853822169642</v>
      </c>
    </row>
    <row r="66" spans="1:2" ht="12.75">
      <c r="A66" s="222" t="s">
        <v>0</v>
      </c>
      <c r="B66" s="223">
        <f>SUM(B62:B65)</f>
        <v>509591.41090114723</v>
      </c>
    </row>
  </sheetData>
  <sheetProtection/>
  <mergeCells count="3">
    <mergeCell ref="A47:A48"/>
    <mergeCell ref="B47:G47"/>
    <mergeCell ref="H47:J47"/>
  </mergeCells>
  <printOptions/>
  <pageMargins left="0.3" right="0.25" top="0.51" bottom="0.86" header="0.3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H29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8" sqref="A8"/>
    </sheetView>
  </sheetViews>
  <sheetFormatPr defaultColWidth="10.125" defaultRowHeight="12.75" outlineLevelCol="1"/>
  <cols>
    <col min="1" max="1" width="38.125" style="88" customWidth="1"/>
    <col min="2" max="2" width="11.375" style="88" customWidth="1"/>
    <col min="3" max="3" width="3.875" style="88" customWidth="1"/>
    <col min="4" max="4" width="7.125" style="88" hidden="1" customWidth="1" outlineLevel="1"/>
    <col min="5" max="5" width="8.25390625" style="88" hidden="1" customWidth="1" outlineLevel="1"/>
    <col min="6" max="11" width="7.00390625" style="88" hidden="1" customWidth="1" outlineLevel="1"/>
    <col min="12" max="12" width="8.75390625" style="88" hidden="1" customWidth="1" outlineLevel="1"/>
    <col min="13" max="13" width="7.875" style="88" hidden="1" customWidth="1" outlineLevel="1"/>
    <col min="14" max="15" width="8.625" style="88" hidden="1" customWidth="1" outlineLevel="1"/>
    <col min="16" max="16" width="9.125" style="88" customWidth="1" collapsed="1"/>
    <col min="17" max="28" width="8.375" style="88" hidden="1" customWidth="1" outlineLevel="1"/>
    <col min="29" max="29" width="9.125" style="88" customWidth="1" collapsed="1"/>
    <col min="30" max="41" width="8.375" style="88" hidden="1" customWidth="1" outlineLevel="1"/>
    <col min="42" max="42" width="9.125" style="88" customWidth="1" collapsed="1"/>
    <col min="43" max="47" width="9.75390625" style="88" bestFit="1" customWidth="1"/>
    <col min="48" max="16384" width="10.125" style="88" customWidth="1"/>
  </cols>
  <sheetData>
    <row r="1" spans="1:3" ht="21" customHeight="1">
      <c r="A1" s="62" t="s">
        <v>110</v>
      </c>
      <c r="B1" s="87"/>
      <c r="C1" s="87"/>
    </row>
    <row r="2" spans="1:3" ht="17.25" customHeight="1">
      <c r="A2" s="62"/>
      <c r="B2" s="12" t="str">
        <f>Исх!$C$10</f>
        <v>тыс.тг.</v>
      </c>
      <c r="C2" s="89"/>
    </row>
    <row r="3" spans="1:47" ht="12.75" customHeight="1">
      <c r="A3" s="327" t="s">
        <v>3</v>
      </c>
      <c r="B3" s="331" t="s">
        <v>89</v>
      </c>
      <c r="C3" s="91"/>
      <c r="D3" s="326">
        <v>2013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>
        <v>2014</v>
      </c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18">
        <v>2015</v>
      </c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20"/>
      <c r="AQ3" s="92">
        <f>AD3+1</f>
        <v>2016</v>
      </c>
      <c r="AR3" s="92">
        <f>AQ3+1</f>
        <v>2017</v>
      </c>
      <c r="AS3" s="92">
        <f>AR3+1</f>
        <v>2018</v>
      </c>
      <c r="AT3" s="92">
        <f>AS3+1</f>
        <v>2019</v>
      </c>
      <c r="AU3" s="92">
        <f>AT3+1</f>
        <v>2020</v>
      </c>
    </row>
    <row r="4" spans="1:47" ht="12.75">
      <c r="A4" s="328"/>
      <c r="B4" s="331"/>
      <c r="C4" s="93"/>
      <c r="D4" s="94">
        <v>1</v>
      </c>
      <c r="E4" s="94">
        <f aca="true" t="shared" si="0" ref="E4:O4">D4+1</f>
        <v>2</v>
      </c>
      <c r="F4" s="94">
        <f t="shared" si="0"/>
        <v>3</v>
      </c>
      <c r="G4" s="94">
        <f t="shared" si="0"/>
        <v>4</v>
      </c>
      <c r="H4" s="94">
        <f t="shared" si="0"/>
        <v>5</v>
      </c>
      <c r="I4" s="94">
        <f t="shared" si="0"/>
        <v>6</v>
      </c>
      <c r="J4" s="94">
        <f t="shared" si="0"/>
        <v>7</v>
      </c>
      <c r="K4" s="94">
        <f t="shared" si="0"/>
        <v>8</v>
      </c>
      <c r="L4" s="94">
        <f t="shared" si="0"/>
        <v>9</v>
      </c>
      <c r="M4" s="94">
        <f t="shared" si="0"/>
        <v>10</v>
      </c>
      <c r="N4" s="94">
        <f t="shared" si="0"/>
        <v>11</v>
      </c>
      <c r="O4" s="94">
        <f t="shared" si="0"/>
        <v>12</v>
      </c>
      <c r="P4" s="90" t="s">
        <v>0</v>
      </c>
      <c r="Q4" s="94">
        <v>1</v>
      </c>
      <c r="R4" s="94">
        <f aca="true" t="shared" si="1" ref="R4:AB4">Q4+1</f>
        <v>2</v>
      </c>
      <c r="S4" s="94">
        <f t="shared" si="1"/>
        <v>3</v>
      </c>
      <c r="T4" s="94">
        <f t="shared" si="1"/>
        <v>4</v>
      </c>
      <c r="U4" s="94">
        <f t="shared" si="1"/>
        <v>5</v>
      </c>
      <c r="V4" s="94">
        <f t="shared" si="1"/>
        <v>6</v>
      </c>
      <c r="W4" s="94">
        <f t="shared" si="1"/>
        <v>7</v>
      </c>
      <c r="X4" s="94">
        <f t="shared" si="1"/>
        <v>8</v>
      </c>
      <c r="Y4" s="94">
        <f t="shared" si="1"/>
        <v>9</v>
      </c>
      <c r="Z4" s="94">
        <f t="shared" si="1"/>
        <v>10</v>
      </c>
      <c r="AA4" s="94">
        <f t="shared" si="1"/>
        <v>11</v>
      </c>
      <c r="AB4" s="94">
        <f t="shared" si="1"/>
        <v>12</v>
      </c>
      <c r="AC4" s="90" t="s">
        <v>0</v>
      </c>
      <c r="AD4" s="94">
        <v>1</v>
      </c>
      <c r="AE4" s="94">
        <f aca="true" t="shared" si="2" ref="AE4:AO4">AD4+1</f>
        <v>2</v>
      </c>
      <c r="AF4" s="94">
        <f t="shared" si="2"/>
        <v>3</v>
      </c>
      <c r="AG4" s="94">
        <f t="shared" si="2"/>
        <v>4</v>
      </c>
      <c r="AH4" s="94">
        <f t="shared" si="2"/>
        <v>5</v>
      </c>
      <c r="AI4" s="94">
        <f t="shared" si="2"/>
        <v>6</v>
      </c>
      <c r="AJ4" s="94">
        <f t="shared" si="2"/>
        <v>7</v>
      </c>
      <c r="AK4" s="94">
        <f t="shared" si="2"/>
        <v>8</v>
      </c>
      <c r="AL4" s="94">
        <f t="shared" si="2"/>
        <v>9</v>
      </c>
      <c r="AM4" s="94">
        <f t="shared" si="2"/>
        <v>10</v>
      </c>
      <c r="AN4" s="94">
        <f t="shared" si="2"/>
        <v>11</v>
      </c>
      <c r="AO4" s="94">
        <f t="shared" si="2"/>
        <v>12</v>
      </c>
      <c r="AP4" s="90" t="s">
        <v>0</v>
      </c>
      <c r="AQ4" s="90" t="s">
        <v>111</v>
      </c>
      <c r="AR4" s="90" t="s">
        <v>111</v>
      </c>
      <c r="AS4" s="90" t="s">
        <v>111</v>
      </c>
      <c r="AT4" s="90" t="s">
        <v>111</v>
      </c>
      <c r="AU4" s="90" t="s">
        <v>111</v>
      </c>
    </row>
    <row r="5" spans="1:48" s="89" customFormat="1" ht="15" customHeight="1">
      <c r="A5" s="95" t="s">
        <v>397</v>
      </c>
      <c r="B5" s="96">
        <f>SUM(B6:B6)</f>
        <v>6490497.6</v>
      </c>
      <c r="C5" s="97"/>
      <c r="D5" s="97">
        <f aca="true" t="shared" si="3" ref="D5:AU5">SUM(D6:D6)</f>
        <v>0</v>
      </c>
      <c r="E5" s="97">
        <f t="shared" si="3"/>
        <v>0</v>
      </c>
      <c r="F5" s="97">
        <f t="shared" si="3"/>
        <v>0</v>
      </c>
      <c r="G5" s="97">
        <f t="shared" si="3"/>
        <v>0</v>
      </c>
      <c r="H5" s="97">
        <f t="shared" si="3"/>
        <v>0</v>
      </c>
      <c r="I5" s="97">
        <f t="shared" si="3"/>
        <v>0</v>
      </c>
      <c r="J5" s="97">
        <f t="shared" si="3"/>
        <v>0</v>
      </c>
      <c r="K5" s="97">
        <f t="shared" si="3"/>
        <v>0</v>
      </c>
      <c r="L5" s="97">
        <f t="shared" si="3"/>
        <v>0</v>
      </c>
      <c r="M5" s="97">
        <f t="shared" si="3"/>
        <v>0</v>
      </c>
      <c r="N5" s="97">
        <f t="shared" si="3"/>
        <v>0</v>
      </c>
      <c r="O5" s="97">
        <f t="shared" si="3"/>
        <v>0</v>
      </c>
      <c r="P5" s="97">
        <f t="shared" si="3"/>
        <v>0</v>
      </c>
      <c r="Q5" s="97">
        <f t="shared" si="3"/>
        <v>0</v>
      </c>
      <c r="R5" s="97">
        <f t="shared" si="3"/>
        <v>0</v>
      </c>
      <c r="S5" s="97">
        <f t="shared" si="3"/>
        <v>26956.8</v>
      </c>
      <c r="T5" s="97">
        <f t="shared" si="3"/>
        <v>35942.4</v>
      </c>
      <c r="U5" s="97">
        <f t="shared" si="3"/>
        <v>49420.799999999996</v>
      </c>
      <c r="V5" s="97">
        <f t="shared" si="3"/>
        <v>70761.6</v>
      </c>
      <c r="W5" s="97">
        <f t="shared" si="3"/>
        <v>80870.4</v>
      </c>
      <c r="X5" s="97">
        <f t="shared" si="3"/>
        <v>70761.6</v>
      </c>
      <c r="Y5" s="97">
        <f t="shared" si="3"/>
        <v>56160</v>
      </c>
      <c r="Z5" s="97">
        <f t="shared" si="3"/>
        <v>44927.99999999999</v>
      </c>
      <c r="AA5" s="97">
        <f t="shared" si="3"/>
        <v>22463.999999999996</v>
      </c>
      <c r="AB5" s="97">
        <f t="shared" si="3"/>
        <v>11231.999999999998</v>
      </c>
      <c r="AC5" s="97">
        <f t="shared" si="3"/>
        <v>469497.6</v>
      </c>
      <c r="AD5" s="97">
        <f t="shared" si="3"/>
        <v>16740</v>
      </c>
      <c r="AE5" s="97">
        <f t="shared" si="3"/>
        <v>41850</v>
      </c>
      <c r="AF5" s="97">
        <f t="shared" si="3"/>
        <v>50220</v>
      </c>
      <c r="AG5" s="97">
        <f t="shared" si="3"/>
        <v>66960</v>
      </c>
      <c r="AH5" s="97">
        <f t="shared" si="3"/>
        <v>92070</v>
      </c>
      <c r="AI5" s="97">
        <f t="shared" si="3"/>
        <v>117180.00000000001</v>
      </c>
      <c r="AJ5" s="97">
        <f t="shared" si="3"/>
        <v>133920</v>
      </c>
      <c r="AK5" s="97">
        <f t="shared" si="3"/>
        <v>117180.00000000001</v>
      </c>
      <c r="AL5" s="97">
        <f t="shared" si="3"/>
        <v>83700</v>
      </c>
      <c r="AM5" s="97">
        <f t="shared" si="3"/>
        <v>66960</v>
      </c>
      <c r="AN5" s="97">
        <f t="shared" si="3"/>
        <v>33480</v>
      </c>
      <c r="AO5" s="97">
        <f t="shared" si="3"/>
        <v>16740</v>
      </c>
      <c r="AP5" s="97">
        <f t="shared" si="3"/>
        <v>837000</v>
      </c>
      <c r="AQ5" s="97">
        <f t="shared" si="3"/>
        <v>907199.9999999998</v>
      </c>
      <c r="AR5" s="97">
        <f t="shared" si="3"/>
        <v>971999.9999999999</v>
      </c>
      <c r="AS5" s="97">
        <f t="shared" si="3"/>
        <v>1036799.9999999999</v>
      </c>
      <c r="AT5" s="97">
        <f t="shared" si="3"/>
        <v>1101599.9999999998</v>
      </c>
      <c r="AU5" s="97">
        <f t="shared" si="3"/>
        <v>1166399.9999999998</v>
      </c>
      <c r="AV5" s="98"/>
    </row>
    <row r="6" spans="1:48" s="89" customFormat="1" ht="12.75">
      <c r="A6" s="292" t="str">
        <f>Дох!A6</f>
        <v>Обои</v>
      </c>
      <c r="B6" s="96">
        <f>P6+AC6+AP6+AQ6+AR6+AS6+AT6+AU6</f>
        <v>6490497.6</v>
      </c>
      <c r="C6" s="97"/>
      <c r="D6" s="99">
        <f>Производство!D10*Дох!$C6/1000</f>
        <v>0</v>
      </c>
      <c r="E6" s="99">
        <f>Производство!E10*Дох!$C6/1000</f>
        <v>0</v>
      </c>
      <c r="F6" s="99">
        <f>Производство!F10*Дох!$C6/1000</f>
        <v>0</v>
      </c>
      <c r="G6" s="99">
        <f>Производство!G10*Дох!$C6/1000</f>
        <v>0</v>
      </c>
      <c r="H6" s="99">
        <f>Производство!H10*Дох!$C6/1000</f>
        <v>0</v>
      </c>
      <c r="I6" s="99">
        <f>Производство!I10*Дох!$C6/1000</f>
        <v>0</v>
      </c>
      <c r="J6" s="99">
        <f>Производство!J10*Дох!$C6/1000</f>
        <v>0</v>
      </c>
      <c r="K6" s="99">
        <f>Производство!K10*Дох!$C6/1000</f>
        <v>0</v>
      </c>
      <c r="L6" s="99">
        <f>Производство!L10*Дох!$C6/1000</f>
        <v>0</v>
      </c>
      <c r="M6" s="99">
        <f>Производство!M10*Дох!$C6/1000</f>
        <v>0</v>
      </c>
      <c r="N6" s="99">
        <f>Производство!N10*Дох!$C6/1000</f>
        <v>0</v>
      </c>
      <c r="O6" s="99">
        <f>Производство!O10*Дох!$C6/1000</f>
        <v>0</v>
      </c>
      <c r="P6" s="97">
        <f>SUM(D6:O6)</f>
        <v>0</v>
      </c>
      <c r="Q6" s="99">
        <f>Производство!Q10*Дох!$C6</f>
        <v>0</v>
      </c>
      <c r="R6" s="99">
        <f>Производство!R10*Дох!$C6</f>
        <v>0</v>
      </c>
      <c r="S6" s="99">
        <f>Производство!S10*Дох!$C6</f>
        <v>26956.8</v>
      </c>
      <c r="T6" s="99">
        <f>Производство!T10*Дох!$C6</f>
        <v>35942.4</v>
      </c>
      <c r="U6" s="99">
        <f>Производство!U10*Дох!$C6</f>
        <v>49420.799999999996</v>
      </c>
      <c r="V6" s="99">
        <f>Производство!V10*Дох!$C6</f>
        <v>70761.6</v>
      </c>
      <c r="W6" s="99">
        <f>Производство!W10*Дох!$C6</f>
        <v>80870.4</v>
      </c>
      <c r="X6" s="99">
        <f>Производство!X10*Дох!$C6</f>
        <v>70761.6</v>
      </c>
      <c r="Y6" s="99">
        <f>Производство!Y10*Дох!$C6</f>
        <v>56160</v>
      </c>
      <c r="Z6" s="99">
        <f>Производство!Z10*Дох!$C6</f>
        <v>44927.99999999999</v>
      </c>
      <c r="AA6" s="99">
        <f>Производство!AA10*Дох!$C6</f>
        <v>22463.999999999996</v>
      </c>
      <c r="AB6" s="99">
        <f>Производство!AB10*Дох!$C6</f>
        <v>11231.999999999998</v>
      </c>
      <c r="AC6" s="97">
        <f>SUM(Q6:AB6)</f>
        <v>469497.6</v>
      </c>
      <c r="AD6" s="99">
        <f>Производство!AD10*Дох!$C6</f>
        <v>16740</v>
      </c>
      <c r="AE6" s="99">
        <f>Производство!AE10*Дох!$C6</f>
        <v>41850</v>
      </c>
      <c r="AF6" s="99">
        <f>Производство!AF10*Дох!$C6</f>
        <v>50220</v>
      </c>
      <c r="AG6" s="99">
        <f>Производство!AG10*Дох!$C6</f>
        <v>66960</v>
      </c>
      <c r="AH6" s="99">
        <f>Производство!AH10*Дох!$C6</f>
        <v>92070</v>
      </c>
      <c r="AI6" s="99">
        <f>Производство!AI10*Дох!$C6</f>
        <v>117180.00000000001</v>
      </c>
      <c r="AJ6" s="99">
        <f>Производство!AJ10*Дох!$C6</f>
        <v>133920</v>
      </c>
      <c r="AK6" s="99">
        <f>Производство!AK10*Дох!$C6</f>
        <v>117180.00000000001</v>
      </c>
      <c r="AL6" s="99">
        <f>Производство!AL10*Дох!$C6</f>
        <v>83700</v>
      </c>
      <c r="AM6" s="99">
        <f>Производство!AM10*Дох!$C6</f>
        <v>66960</v>
      </c>
      <c r="AN6" s="99">
        <f>Производство!AN10*Дох!$C6</f>
        <v>33480</v>
      </c>
      <c r="AO6" s="99">
        <f>Производство!AO10*Дох!$C6</f>
        <v>16740</v>
      </c>
      <c r="AP6" s="97">
        <f>SUM(AD6:AO6)</f>
        <v>837000</v>
      </c>
      <c r="AQ6" s="99">
        <f>Производство!AQ10*Дох!$C6</f>
        <v>907199.9999999998</v>
      </c>
      <c r="AR6" s="99">
        <f>Производство!AR10*Дох!$C6</f>
        <v>971999.9999999999</v>
      </c>
      <c r="AS6" s="99">
        <f>Производство!AS10*Дох!$C6</f>
        <v>1036799.9999999999</v>
      </c>
      <c r="AT6" s="99">
        <f>Производство!AT10*Дох!$C6</f>
        <v>1101599.9999999998</v>
      </c>
      <c r="AU6" s="99">
        <f>Производство!AU10*Дох!$C6</f>
        <v>1166399.9999999998</v>
      </c>
      <c r="AV6" s="98"/>
    </row>
    <row r="7" spans="1:47" ht="15" customHeight="1">
      <c r="A7" s="95" t="s">
        <v>398</v>
      </c>
      <c r="B7" s="96">
        <f>SUM(B8:B8)</f>
        <v>4568163.994566159</v>
      </c>
      <c r="C7" s="97"/>
      <c r="D7" s="97">
        <f aca="true" t="shared" si="4" ref="D7:AU7">SUM(D8:D8)</f>
        <v>0</v>
      </c>
      <c r="E7" s="97">
        <f t="shared" si="4"/>
        <v>0</v>
      </c>
      <c r="F7" s="97">
        <f t="shared" si="4"/>
        <v>0</v>
      </c>
      <c r="G7" s="97">
        <f t="shared" si="4"/>
        <v>0</v>
      </c>
      <c r="H7" s="97">
        <f t="shared" si="4"/>
        <v>0</v>
      </c>
      <c r="I7" s="97">
        <f t="shared" si="4"/>
        <v>0</v>
      </c>
      <c r="J7" s="97">
        <f t="shared" si="4"/>
        <v>0</v>
      </c>
      <c r="K7" s="97">
        <f t="shared" si="4"/>
        <v>0</v>
      </c>
      <c r="L7" s="97">
        <f t="shared" si="4"/>
        <v>0</v>
      </c>
      <c r="M7" s="97">
        <f t="shared" si="4"/>
        <v>0</v>
      </c>
      <c r="N7" s="97">
        <f t="shared" si="4"/>
        <v>0</v>
      </c>
      <c r="O7" s="97">
        <f t="shared" si="4"/>
        <v>0</v>
      </c>
      <c r="P7" s="97">
        <f t="shared" si="4"/>
        <v>0</v>
      </c>
      <c r="Q7" s="97">
        <f t="shared" si="4"/>
        <v>0</v>
      </c>
      <c r="R7" s="97">
        <f t="shared" si="4"/>
        <v>0</v>
      </c>
      <c r="S7" s="97">
        <f t="shared" si="4"/>
        <v>18972.82623888823</v>
      </c>
      <c r="T7" s="97">
        <f t="shared" si="4"/>
        <v>25297.10165185097</v>
      </c>
      <c r="U7" s="97">
        <f t="shared" si="4"/>
        <v>34783.51477129508</v>
      </c>
      <c r="V7" s="97">
        <f t="shared" si="4"/>
        <v>49803.6688770816</v>
      </c>
      <c r="W7" s="97">
        <f t="shared" si="4"/>
        <v>56918.47871666468</v>
      </c>
      <c r="X7" s="97">
        <f t="shared" si="4"/>
        <v>49803.6688770816</v>
      </c>
      <c r="Y7" s="97">
        <f t="shared" si="4"/>
        <v>39526.72133101714</v>
      </c>
      <c r="Z7" s="97">
        <f t="shared" si="4"/>
        <v>31621.37706481371</v>
      </c>
      <c r="AA7" s="97">
        <f t="shared" si="4"/>
        <v>15810.688532406855</v>
      </c>
      <c r="AB7" s="97">
        <f t="shared" si="4"/>
        <v>7905.344266203428</v>
      </c>
      <c r="AC7" s="97">
        <f t="shared" si="4"/>
        <v>330443.39032730326</v>
      </c>
      <c r="AD7" s="97">
        <f t="shared" si="4"/>
        <v>11782.00347366857</v>
      </c>
      <c r="AE7" s="97">
        <f t="shared" si="4"/>
        <v>29455.00868417143</v>
      </c>
      <c r="AF7" s="97">
        <f t="shared" si="4"/>
        <v>35346.01042100571</v>
      </c>
      <c r="AG7" s="97">
        <f t="shared" si="4"/>
        <v>47128.01389467428</v>
      </c>
      <c r="AH7" s="97">
        <f t="shared" si="4"/>
        <v>64801.01910517714</v>
      </c>
      <c r="AI7" s="97">
        <f t="shared" si="4"/>
        <v>82474.02431568</v>
      </c>
      <c r="AJ7" s="97">
        <f t="shared" si="4"/>
        <v>94256.02778934856</v>
      </c>
      <c r="AK7" s="97">
        <f t="shared" si="4"/>
        <v>82474.02431568</v>
      </c>
      <c r="AL7" s="97">
        <f t="shared" si="4"/>
        <v>58910.01736834286</v>
      </c>
      <c r="AM7" s="97">
        <f t="shared" si="4"/>
        <v>47128.01389467428</v>
      </c>
      <c r="AN7" s="97">
        <f t="shared" si="4"/>
        <v>23564.00694733714</v>
      </c>
      <c r="AO7" s="97">
        <f t="shared" si="4"/>
        <v>11782.00347366857</v>
      </c>
      <c r="AP7" s="97">
        <f t="shared" si="4"/>
        <v>589100.1736834286</v>
      </c>
      <c r="AQ7" s="97">
        <f t="shared" si="4"/>
        <v>638508.5753471998</v>
      </c>
      <c r="AR7" s="97">
        <f t="shared" si="4"/>
        <v>684116.3307291428</v>
      </c>
      <c r="AS7" s="97">
        <f t="shared" si="4"/>
        <v>729724.0861110856</v>
      </c>
      <c r="AT7" s="97">
        <f t="shared" si="4"/>
        <v>775331.8414930283</v>
      </c>
      <c r="AU7" s="97">
        <f t="shared" si="4"/>
        <v>820939.5968749712</v>
      </c>
    </row>
    <row r="8" spans="1:47" ht="12.75">
      <c r="A8" s="292" t="s">
        <v>200</v>
      </c>
      <c r="B8" s="96">
        <f>P8+AC8+AP8+AQ8+AR8+AS8+AT8+AU8</f>
        <v>4568163.994566159</v>
      </c>
      <c r="C8" s="97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7">
        <f>SUM(D8:O8)</f>
        <v>0</v>
      </c>
      <c r="Q8" s="99">
        <f>Производство!Q10*'Расх перем'!$E$10</f>
        <v>0</v>
      </c>
      <c r="R8" s="99">
        <f>Производство!R10*'Расх перем'!$E$10</f>
        <v>0</v>
      </c>
      <c r="S8" s="99">
        <f>Производство!S10*'Расх перем'!$E$10</f>
        <v>18972.82623888823</v>
      </c>
      <c r="T8" s="99">
        <f>Производство!T10*'Расх перем'!$E$10</f>
        <v>25297.10165185097</v>
      </c>
      <c r="U8" s="99">
        <f>Производство!U10*'Расх перем'!$E$10</f>
        <v>34783.51477129508</v>
      </c>
      <c r="V8" s="99">
        <f>Производство!V10*'Расх перем'!$E$10</f>
        <v>49803.6688770816</v>
      </c>
      <c r="W8" s="99">
        <f>Производство!W10*'Расх перем'!$E$10</f>
        <v>56918.47871666468</v>
      </c>
      <c r="X8" s="99">
        <f>Производство!X10*'Расх перем'!$E$10</f>
        <v>49803.6688770816</v>
      </c>
      <c r="Y8" s="99">
        <f>Производство!Y10*'Расх перем'!$E$10</f>
        <v>39526.72133101714</v>
      </c>
      <c r="Z8" s="99">
        <f>Производство!Z10*'Расх перем'!$E$10</f>
        <v>31621.37706481371</v>
      </c>
      <c r="AA8" s="99">
        <f>Производство!AA10*'Расх перем'!$E$10</f>
        <v>15810.688532406855</v>
      </c>
      <c r="AB8" s="99">
        <f>Производство!AB10*'Расх перем'!$E$10</f>
        <v>7905.344266203428</v>
      </c>
      <c r="AC8" s="97">
        <f>SUM(Q8:AB8)</f>
        <v>330443.39032730326</v>
      </c>
      <c r="AD8" s="99">
        <f>Производство!AD10*'Расх перем'!$E$10</f>
        <v>11782.00347366857</v>
      </c>
      <c r="AE8" s="99">
        <f>Производство!AE10*'Расх перем'!$E$10</f>
        <v>29455.00868417143</v>
      </c>
      <c r="AF8" s="99">
        <f>Производство!AF10*'Расх перем'!$E$10</f>
        <v>35346.01042100571</v>
      </c>
      <c r="AG8" s="99">
        <f>Производство!AG10*'Расх перем'!$E$10</f>
        <v>47128.01389467428</v>
      </c>
      <c r="AH8" s="99">
        <f>Производство!AH10*'Расх перем'!$E$10</f>
        <v>64801.01910517714</v>
      </c>
      <c r="AI8" s="99">
        <f>Производство!AI10*'Расх перем'!$E$10</f>
        <v>82474.02431568</v>
      </c>
      <c r="AJ8" s="99">
        <f>Производство!AJ10*'Расх перем'!$E$10</f>
        <v>94256.02778934856</v>
      </c>
      <c r="AK8" s="99">
        <f>Производство!AK10*'Расх перем'!$E$10</f>
        <v>82474.02431568</v>
      </c>
      <c r="AL8" s="99">
        <f>Производство!AL10*'Расх перем'!$E$10</f>
        <v>58910.01736834286</v>
      </c>
      <c r="AM8" s="99">
        <f>Производство!AM10*'Расх перем'!$E$10</f>
        <v>47128.01389467428</v>
      </c>
      <c r="AN8" s="99">
        <f>Производство!AN10*'Расх перем'!$E$10</f>
        <v>23564.00694733714</v>
      </c>
      <c r="AO8" s="99">
        <f>Производство!AO10*'Расх перем'!$E$10</f>
        <v>11782.00347366857</v>
      </c>
      <c r="AP8" s="97">
        <f>SUM(AD8:AO8)</f>
        <v>589100.1736834286</v>
      </c>
      <c r="AQ8" s="99">
        <f>Производство!AQ10*'Расх перем'!$E$10</f>
        <v>638508.5753471998</v>
      </c>
      <c r="AR8" s="99">
        <f>Производство!AR10*'Расх перем'!$E$10</f>
        <v>684116.3307291428</v>
      </c>
      <c r="AS8" s="99">
        <f>Производство!AS10*'Расх перем'!$E$10</f>
        <v>729724.0861110856</v>
      </c>
      <c r="AT8" s="99">
        <f>Производство!AT10*'Расх перем'!$E$10</f>
        <v>775331.8414930283</v>
      </c>
      <c r="AU8" s="99">
        <f>Производство!AU10*'Расх перем'!$E$10</f>
        <v>820939.5968749712</v>
      </c>
    </row>
    <row r="9" spans="1:47" s="89" customFormat="1" ht="15" customHeight="1">
      <c r="A9" s="95" t="s">
        <v>17</v>
      </c>
      <c r="B9" s="96">
        <f>B5-B7</f>
        <v>1922333.6054338403</v>
      </c>
      <c r="C9" s="100"/>
      <c r="D9" s="97">
        <f aca="true" t="shared" si="5" ref="D9:AU9">D5-D7</f>
        <v>0</v>
      </c>
      <c r="E9" s="97">
        <f t="shared" si="5"/>
        <v>0</v>
      </c>
      <c r="F9" s="97">
        <f t="shared" si="5"/>
        <v>0</v>
      </c>
      <c r="G9" s="97">
        <f t="shared" si="5"/>
        <v>0</v>
      </c>
      <c r="H9" s="97">
        <f t="shared" si="5"/>
        <v>0</v>
      </c>
      <c r="I9" s="97">
        <f t="shared" si="5"/>
        <v>0</v>
      </c>
      <c r="J9" s="97">
        <f t="shared" si="5"/>
        <v>0</v>
      </c>
      <c r="K9" s="97">
        <f t="shared" si="5"/>
        <v>0</v>
      </c>
      <c r="L9" s="97">
        <f t="shared" si="5"/>
        <v>0</v>
      </c>
      <c r="M9" s="97">
        <f t="shared" si="5"/>
        <v>0</v>
      </c>
      <c r="N9" s="97">
        <f t="shared" si="5"/>
        <v>0</v>
      </c>
      <c r="O9" s="97">
        <f t="shared" si="5"/>
        <v>0</v>
      </c>
      <c r="P9" s="97">
        <f t="shared" si="5"/>
        <v>0</v>
      </c>
      <c r="Q9" s="97">
        <f t="shared" si="5"/>
        <v>0</v>
      </c>
      <c r="R9" s="97">
        <f t="shared" si="5"/>
        <v>0</v>
      </c>
      <c r="S9" s="97">
        <f t="shared" si="5"/>
        <v>7983.973761111771</v>
      </c>
      <c r="T9" s="97">
        <f t="shared" si="5"/>
        <v>10645.29834814903</v>
      </c>
      <c r="U9" s="97">
        <f t="shared" si="5"/>
        <v>14637.285228704917</v>
      </c>
      <c r="V9" s="97">
        <f t="shared" si="5"/>
        <v>20957.931122918402</v>
      </c>
      <c r="W9" s="97">
        <f t="shared" si="5"/>
        <v>23951.921283335316</v>
      </c>
      <c r="X9" s="97">
        <f t="shared" si="5"/>
        <v>20957.931122918402</v>
      </c>
      <c r="Y9" s="97">
        <f t="shared" si="5"/>
        <v>16633.278668982857</v>
      </c>
      <c r="Z9" s="97">
        <f t="shared" si="5"/>
        <v>13306.622935186282</v>
      </c>
      <c r="AA9" s="97">
        <f t="shared" si="5"/>
        <v>6653.311467593141</v>
      </c>
      <c r="AB9" s="97">
        <f t="shared" si="5"/>
        <v>3326.6557337965705</v>
      </c>
      <c r="AC9" s="97">
        <f t="shared" si="5"/>
        <v>139054.2096726967</v>
      </c>
      <c r="AD9" s="97">
        <f t="shared" si="5"/>
        <v>4957.99652633143</v>
      </c>
      <c r="AE9" s="97">
        <f t="shared" si="5"/>
        <v>12394.99131582857</v>
      </c>
      <c r="AF9" s="97">
        <f t="shared" si="5"/>
        <v>14873.98957899429</v>
      </c>
      <c r="AG9" s="97">
        <f t="shared" si="5"/>
        <v>19831.98610532572</v>
      </c>
      <c r="AH9" s="97">
        <f t="shared" si="5"/>
        <v>27268.98089482286</v>
      </c>
      <c r="AI9" s="97">
        <f t="shared" si="5"/>
        <v>34705.975684320016</v>
      </c>
      <c r="AJ9" s="97">
        <f t="shared" si="5"/>
        <v>39663.97221065144</v>
      </c>
      <c r="AK9" s="97">
        <f t="shared" si="5"/>
        <v>34705.975684320016</v>
      </c>
      <c r="AL9" s="97">
        <f t="shared" si="5"/>
        <v>24789.98263165714</v>
      </c>
      <c r="AM9" s="97">
        <f t="shared" si="5"/>
        <v>19831.98610532572</v>
      </c>
      <c r="AN9" s="97">
        <f t="shared" si="5"/>
        <v>9915.99305266286</v>
      </c>
      <c r="AO9" s="97">
        <f t="shared" si="5"/>
        <v>4957.99652633143</v>
      </c>
      <c r="AP9" s="97">
        <f t="shared" si="5"/>
        <v>247899.82631657145</v>
      </c>
      <c r="AQ9" s="97">
        <f t="shared" si="5"/>
        <v>268691.42465279996</v>
      </c>
      <c r="AR9" s="97">
        <f t="shared" si="5"/>
        <v>287883.6692708571</v>
      </c>
      <c r="AS9" s="97">
        <f t="shared" si="5"/>
        <v>307075.9138889143</v>
      </c>
      <c r="AT9" s="97">
        <f t="shared" si="5"/>
        <v>326268.15850697143</v>
      </c>
      <c r="AU9" s="97">
        <f t="shared" si="5"/>
        <v>345460.4031250286</v>
      </c>
    </row>
    <row r="10" spans="1:47" ht="15" customHeight="1">
      <c r="A10" s="101" t="s">
        <v>144</v>
      </c>
      <c r="B10" s="96">
        <f>P10+AC10+AP10+AQ10+AR10+AS10+AT10+AU10</f>
        <v>470789.059251104</v>
      </c>
      <c r="C10" s="97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7">
        <f aca="true" t="shared" si="6" ref="P10:P15">SUM(D10:O10)</f>
        <v>0</v>
      </c>
      <c r="Q10" s="99">
        <f>Пост!$D$21+Пост!$D$23+Пост!$D$26</f>
        <v>4724.8733777976195</v>
      </c>
      <c r="R10" s="99">
        <f>Пост!$D$21+Пост!$D$23+Пост!$D$26</f>
        <v>4724.8733777976195</v>
      </c>
      <c r="S10" s="99">
        <f>Пост!$D$21+Пост!$D$23+Пост!$D$26</f>
        <v>4724.8733777976195</v>
      </c>
      <c r="T10" s="99">
        <f>Пост!$D$21+Пост!$D$23+Пост!$D$26</f>
        <v>4724.8733777976195</v>
      </c>
      <c r="U10" s="99">
        <f>Пост!$D$21+Пост!$D$23+Пост!$D$26</f>
        <v>4724.8733777976195</v>
      </c>
      <c r="V10" s="99">
        <f>Пост!$D$21+Пост!$D$23+Пост!$D$26</f>
        <v>4724.8733777976195</v>
      </c>
      <c r="W10" s="99">
        <f>Пост!$D$21+Пост!$D$23+Пост!$D$26</f>
        <v>4724.8733777976195</v>
      </c>
      <c r="X10" s="99">
        <f>Пост!$D$21+Пост!$D$23+Пост!$D$26</f>
        <v>4724.8733777976195</v>
      </c>
      <c r="Y10" s="99">
        <f>Пост!$D$21+Пост!$D$23+Пост!$D$26</f>
        <v>4724.8733777976195</v>
      </c>
      <c r="Z10" s="99">
        <f>Пост!$D$21+Пост!$D$23+Пост!$D$26</f>
        <v>4724.8733777976195</v>
      </c>
      <c r="AA10" s="99">
        <f>Пост!$D$21+Пост!$D$23+Пост!$D$26</f>
        <v>4724.8733777976195</v>
      </c>
      <c r="AB10" s="99">
        <f>Пост!$D$21+Пост!$D$23+Пост!$D$26</f>
        <v>4724.8733777976195</v>
      </c>
      <c r="AC10" s="97">
        <f aca="true" t="shared" si="7" ref="AC10:AC15">SUM(Q10:AB10)</f>
        <v>56698.48053357142</v>
      </c>
      <c r="AD10" s="99">
        <f>Пост!$E$21+Пост!$E$23+Пост!$E$26</f>
        <v>5073.365649619048</v>
      </c>
      <c r="AE10" s="99">
        <f>Пост!$E$21+Пост!$E$23+Пост!$E$26</f>
        <v>5073.365649619048</v>
      </c>
      <c r="AF10" s="99">
        <f>Пост!$E$21+Пост!$E$23+Пост!$E$26</f>
        <v>5073.365649619048</v>
      </c>
      <c r="AG10" s="99">
        <f>Пост!$E$21+Пост!$E$23+Пост!$E$26</f>
        <v>5073.365649619048</v>
      </c>
      <c r="AH10" s="99">
        <f>Пост!$E$21+Пост!$E$23+Пост!$E$26</f>
        <v>5073.365649619048</v>
      </c>
      <c r="AI10" s="99">
        <f>Пост!$E$21+Пост!$E$23+Пост!$E$26</f>
        <v>5073.365649619048</v>
      </c>
      <c r="AJ10" s="99">
        <f>Пост!$E$21+Пост!$E$23+Пост!$E$26</f>
        <v>5073.365649619048</v>
      </c>
      <c r="AK10" s="99">
        <f>Пост!$E$21+Пост!$E$23+Пост!$E$26</f>
        <v>5073.365649619048</v>
      </c>
      <c r="AL10" s="99">
        <f>Пост!$E$21+Пост!$E$23+Пост!$E$26</f>
        <v>5073.365649619048</v>
      </c>
      <c r="AM10" s="99">
        <f>Пост!$E$21+Пост!$E$23+Пост!$E$26</f>
        <v>5073.365649619048</v>
      </c>
      <c r="AN10" s="99">
        <f>Пост!$E$21+Пост!$E$23+Пост!$E$26</f>
        <v>5073.365649619048</v>
      </c>
      <c r="AO10" s="99">
        <f>Пост!$E$21+Пост!$E$23+Пост!$E$26</f>
        <v>5073.365649619048</v>
      </c>
      <c r="AP10" s="97">
        <f aca="true" t="shared" si="8" ref="AP10:AP15">SUM(AD10:AO10)</f>
        <v>60880.38779542856</v>
      </c>
      <c r="AQ10" s="99">
        <f>(Пост!F21+Пост!F23+Пост!F26)*12</f>
        <v>63965.98546823571</v>
      </c>
      <c r="AR10" s="99">
        <f>(Пост!G21+Пост!G23+Пост!G26)*12</f>
        <v>67156.40875754038</v>
      </c>
      <c r="AS10" s="99">
        <f>(Пост!H21+Пост!H23+Пост!H26)*12</f>
        <v>70490.79992666736</v>
      </c>
      <c r="AT10" s="99">
        <f>(Пост!I21+Пост!I23+Пост!I26)*12</f>
        <v>73976.35736960793</v>
      </c>
      <c r="AU10" s="99">
        <f>(Пост!J21+Пост!J23+Пост!J26)*12</f>
        <v>77620.63940005258</v>
      </c>
    </row>
    <row r="11" spans="1:47" ht="15" customHeight="1">
      <c r="A11" s="101" t="s">
        <v>77</v>
      </c>
      <c r="B11" s="96">
        <f>P11+AC11+AP11+AQ11+AR11+AS11+AT11+AU11</f>
        <v>138342.69</v>
      </c>
      <c r="C11" s="97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>
        <f>Пост!$C$36/12</f>
        <v>0</v>
      </c>
      <c r="O11" s="99">
        <f>Пост!$C$36/12</f>
        <v>0</v>
      </c>
      <c r="P11" s="97">
        <f t="shared" si="6"/>
        <v>0</v>
      </c>
      <c r="Q11" s="99">
        <f>Пост!$D$36/12</f>
        <v>1646.9367857142859</v>
      </c>
      <c r="R11" s="99">
        <f>Пост!$D$36/12</f>
        <v>1646.9367857142859</v>
      </c>
      <c r="S11" s="99">
        <f>Пост!$D$36/12</f>
        <v>1646.9367857142859</v>
      </c>
      <c r="T11" s="99">
        <f>Пост!$D$36/12</f>
        <v>1646.9367857142859</v>
      </c>
      <c r="U11" s="99">
        <f>Пост!$D$36/12</f>
        <v>1646.9367857142859</v>
      </c>
      <c r="V11" s="99">
        <f>Пост!$D$36/12</f>
        <v>1646.9367857142859</v>
      </c>
      <c r="W11" s="99">
        <f>Пост!$D$36/12</f>
        <v>1646.9367857142859</v>
      </c>
      <c r="X11" s="99">
        <f>Пост!$D$36/12</f>
        <v>1646.9367857142859</v>
      </c>
      <c r="Y11" s="99">
        <f>Пост!$D$36/12</f>
        <v>1646.9367857142859</v>
      </c>
      <c r="Z11" s="99">
        <f>Пост!$D$36/12</f>
        <v>1646.9367857142859</v>
      </c>
      <c r="AA11" s="99">
        <f>Пост!$D$36/12</f>
        <v>1646.9367857142859</v>
      </c>
      <c r="AB11" s="99">
        <f>Пост!$D$36/12</f>
        <v>1646.9367857142859</v>
      </c>
      <c r="AC11" s="97">
        <f t="shared" si="7"/>
        <v>19763.24142857143</v>
      </c>
      <c r="AD11" s="99">
        <f>Пост!$E$36/12</f>
        <v>1646.9367857142859</v>
      </c>
      <c r="AE11" s="99">
        <f>Пост!$E$36/12</f>
        <v>1646.9367857142859</v>
      </c>
      <c r="AF11" s="99">
        <f>Пост!$E$36/12</f>
        <v>1646.9367857142859</v>
      </c>
      <c r="AG11" s="99">
        <f>Пост!$E$36/12</f>
        <v>1646.9367857142859</v>
      </c>
      <c r="AH11" s="99">
        <f>Пост!$E$36/12</f>
        <v>1646.9367857142859</v>
      </c>
      <c r="AI11" s="99">
        <f>Пост!$E$36/12</f>
        <v>1646.9367857142859</v>
      </c>
      <c r="AJ11" s="99">
        <f>Пост!$E$36/12</f>
        <v>1646.9367857142859</v>
      </c>
      <c r="AK11" s="99">
        <f>Пост!$E$36/12</f>
        <v>1646.9367857142859</v>
      </c>
      <c r="AL11" s="99">
        <f>Пост!$E$36/12</f>
        <v>1646.9367857142859</v>
      </c>
      <c r="AM11" s="99">
        <f>Пост!$E$36/12</f>
        <v>1646.9367857142859</v>
      </c>
      <c r="AN11" s="99">
        <f>Пост!$E$36/12</f>
        <v>1646.9367857142859</v>
      </c>
      <c r="AO11" s="99">
        <f>Пост!$E$36/12</f>
        <v>1646.9367857142859</v>
      </c>
      <c r="AP11" s="97">
        <f t="shared" si="8"/>
        <v>19763.24142857143</v>
      </c>
      <c r="AQ11" s="99">
        <f>Пост!F36</f>
        <v>19763.24142857143</v>
      </c>
      <c r="AR11" s="99">
        <f>Пост!G36</f>
        <v>19763.24142857143</v>
      </c>
      <c r="AS11" s="99">
        <f>Пост!H36</f>
        <v>19763.24142857143</v>
      </c>
      <c r="AT11" s="99">
        <f>Пост!I36</f>
        <v>19763.24142857143</v>
      </c>
      <c r="AU11" s="99">
        <f>Пост!J36</f>
        <v>19763.24142857143</v>
      </c>
    </row>
    <row r="12" spans="1:47" ht="15" customHeight="1">
      <c r="A12" s="101" t="s">
        <v>27</v>
      </c>
      <c r="B12" s="96">
        <f>P12+AC12+AP12+AQ12+AR12+AS12+AT12+AU12</f>
        <v>75579.91830241526</v>
      </c>
      <c r="C12" s="97"/>
      <c r="D12" s="99">
        <f>кр!C24</f>
        <v>0</v>
      </c>
      <c r="E12" s="99">
        <f>кр!D24</f>
        <v>0</v>
      </c>
      <c r="F12" s="99">
        <f>кр!E24</f>
        <v>0</v>
      </c>
      <c r="G12" s="99">
        <f>кр!F24</f>
        <v>0</v>
      </c>
      <c r="H12" s="99">
        <f>кр!G24</f>
        <v>0</v>
      </c>
      <c r="I12" s="99">
        <f>кр!H24</f>
        <v>0</v>
      </c>
      <c r="J12" s="99">
        <f>кр!I24</f>
        <v>0</v>
      </c>
      <c r="K12" s="99">
        <f>кр!J24</f>
        <v>0</v>
      </c>
      <c r="L12" s="99">
        <f>кр!K24</f>
        <v>410.55840700000005</v>
      </c>
      <c r="M12" s="99">
        <f>кр!L24</f>
        <v>530.9277820000001</v>
      </c>
      <c r="N12" s="99">
        <f>кр!M24</f>
        <v>1105.7788770000002</v>
      </c>
      <c r="O12" s="99">
        <f>кр!N24</f>
        <v>1457.5242733333337</v>
      </c>
      <c r="P12" s="97">
        <f t="shared" si="6"/>
        <v>3504.7893393333343</v>
      </c>
      <c r="Q12" s="99">
        <f>кр!P24</f>
        <v>1457.5242733333337</v>
      </c>
      <c r="R12" s="99">
        <f>кр!Q24</f>
        <v>1457.5242733333337</v>
      </c>
      <c r="S12" s="99">
        <f>кр!R24</f>
        <v>1457.5242733333337</v>
      </c>
      <c r="T12" s="99">
        <f>кр!S24</f>
        <v>1457.5242733333337</v>
      </c>
      <c r="U12" s="99">
        <f>кр!T24</f>
        <v>1457.5242733333337</v>
      </c>
      <c r="V12" s="99">
        <f>кр!U24</f>
        <v>1479.0785897008338</v>
      </c>
      <c r="W12" s="99">
        <f>кр!V24</f>
        <v>1480.7886769294894</v>
      </c>
      <c r="X12" s="99">
        <f>кр!W24</f>
        <v>1504.9807899221128</v>
      </c>
      <c r="Y12" s="99">
        <f>кр!X24</f>
        <v>1510.9711209954012</v>
      </c>
      <c r="Z12" s="99">
        <f>кр!Y24</f>
        <v>1494.4730241332422</v>
      </c>
      <c r="AA12" s="99">
        <f>кр!Z24</f>
        <v>1477.8786883727205</v>
      </c>
      <c r="AB12" s="99">
        <f>кр!AA24</f>
        <v>1461.1875523202625</v>
      </c>
      <c r="AC12" s="97">
        <f t="shared" si="7"/>
        <v>17696.979809040728</v>
      </c>
      <c r="AD12" s="99">
        <f>кр!AC24</f>
        <v>1444.3990513074984</v>
      </c>
      <c r="AE12" s="99">
        <f>кр!AD24</f>
        <v>1427.5126173721599</v>
      </c>
      <c r="AF12" s="99">
        <f>кр!AE24</f>
        <v>1410.5276792388654</v>
      </c>
      <c r="AG12" s="99">
        <f>кр!AF24</f>
        <v>1393.443662299793</v>
      </c>
      <c r="AH12" s="99">
        <f>кр!AG24</f>
        <v>1376.2599885952432</v>
      </c>
      <c r="AI12" s="99">
        <f>кр!AH24</f>
        <v>1358.976076794083</v>
      </c>
      <c r="AJ12" s="99">
        <f>кр!AI24</f>
        <v>1341.591342174083</v>
      </c>
      <c r="AK12" s="99">
        <f>кр!AJ24</f>
        <v>1324.1051966021328</v>
      </c>
      <c r="AL12" s="99">
        <f>кр!AK24</f>
        <v>1306.5170485143462</v>
      </c>
      <c r="AM12" s="99">
        <f>кр!AL24</f>
        <v>1288.826302896048</v>
      </c>
      <c r="AN12" s="99">
        <f>кр!AM24</f>
        <v>1271.0323612616426</v>
      </c>
      <c r="AO12" s="99">
        <f>кр!AN24</f>
        <v>1253.13462163437</v>
      </c>
      <c r="AP12" s="97">
        <f t="shared" si="8"/>
        <v>16196.325948690266</v>
      </c>
      <c r="AQ12" s="99">
        <f>кр!BB24</f>
        <v>13602.97209722404</v>
      </c>
      <c r="AR12" s="99">
        <f>кр!BO24</f>
        <v>10822.144486146492</v>
      </c>
      <c r="AS12" s="99">
        <f>кр!CB24</f>
        <v>7840.290622216894</v>
      </c>
      <c r="AT12" s="99">
        <f>кр!CO24</f>
        <v>4642.878301362349</v>
      </c>
      <c r="AU12" s="99">
        <f>кр!DB24</f>
        <v>1273.5376984011498</v>
      </c>
    </row>
    <row r="13" spans="1:47" ht="15" customHeight="1">
      <c r="A13" s="101" t="s">
        <v>203</v>
      </c>
      <c r="B13" s="96">
        <f>P13+AC13+AP13+AQ13+AR13+AS13+AT13+AU13</f>
        <v>1237621.9378803202</v>
      </c>
      <c r="C13" s="100"/>
      <c r="D13" s="99">
        <f>D9-D10-D12-D11</f>
        <v>0</v>
      </c>
      <c r="E13" s="99">
        <f aca="true" t="shared" si="9" ref="E13:O13">E9-E10-E12-E11</f>
        <v>0</v>
      </c>
      <c r="F13" s="99">
        <f t="shared" si="9"/>
        <v>0</v>
      </c>
      <c r="G13" s="99">
        <f t="shared" si="9"/>
        <v>0</v>
      </c>
      <c r="H13" s="99">
        <f t="shared" si="9"/>
        <v>0</v>
      </c>
      <c r="I13" s="99">
        <f t="shared" si="9"/>
        <v>0</v>
      </c>
      <c r="J13" s="99">
        <f t="shared" si="9"/>
        <v>0</v>
      </c>
      <c r="K13" s="99">
        <f t="shared" si="9"/>
        <v>0</v>
      </c>
      <c r="L13" s="99">
        <f t="shared" si="9"/>
        <v>-410.55840700000005</v>
      </c>
      <c r="M13" s="99">
        <f t="shared" si="9"/>
        <v>-530.9277820000001</v>
      </c>
      <c r="N13" s="99">
        <f t="shared" si="9"/>
        <v>-1105.7788770000002</v>
      </c>
      <c r="O13" s="99">
        <f t="shared" si="9"/>
        <v>-1457.5242733333337</v>
      </c>
      <c r="P13" s="97">
        <f t="shared" si="6"/>
        <v>-3504.7893393333343</v>
      </c>
      <c r="Q13" s="99">
        <f aca="true" t="shared" si="10" ref="Q13:AB13">Q9-Q10-Q12-Q11</f>
        <v>-7829.334436845239</v>
      </c>
      <c r="R13" s="99">
        <f t="shared" si="10"/>
        <v>-7829.334436845239</v>
      </c>
      <c r="S13" s="99">
        <f t="shared" si="10"/>
        <v>154.63932426653173</v>
      </c>
      <c r="T13" s="99">
        <f t="shared" si="10"/>
        <v>2815.963911303791</v>
      </c>
      <c r="U13" s="99">
        <f t="shared" si="10"/>
        <v>6807.950791859677</v>
      </c>
      <c r="V13" s="99">
        <f t="shared" si="10"/>
        <v>13107.042369705663</v>
      </c>
      <c r="W13" s="99">
        <f t="shared" si="10"/>
        <v>16099.322442893921</v>
      </c>
      <c r="X13" s="99">
        <f t="shared" si="10"/>
        <v>13081.140169484384</v>
      </c>
      <c r="Y13" s="99">
        <f t="shared" si="10"/>
        <v>8750.497384475551</v>
      </c>
      <c r="Z13" s="99">
        <f t="shared" si="10"/>
        <v>5440.339747541135</v>
      </c>
      <c r="AA13" s="99">
        <f t="shared" si="10"/>
        <v>-1196.3773842914848</v>
      </c>
      <c r="AB13" s="99">
        <f t="shared" si="10"/>
        <v>-4506.3419820355975</v>
      </c>
      <c r="AC13" s="97">
        <f t="shared" si="7"/>
        <v>44895.50790151309</v>
      </c>
      <c r="AD13" s="99">
        <f aca="true" t="shared" si="11" ref="AD13:AO13">AD9-AD10-AD12-AD11</f>
        <v>-3206.7049603094024</v>
      </c>
      <c r="AE13" s="99">
        <f t="shared" si="11"/>
        <v>4247.176263123077</v>
      </c>
      <c r="AF13" s="99">
        <f t="shared" si="11"/>
        <v>6743.1594644220895</v>
      </c>
      <c r="AG13" s="99">
        <f t="shared" si="11"/>
        <v>11718.240007692591</v>
      </c>
      <c r="AH13" s="99">
        <f t="shared" si="11"/>
        <v>19172.41847089428</v>
      </c>
      <c r="AI13" s="99">
        <f t="shared" si="11"/>
        <v>26626.6971721926</v>
      </c>
      <c r="AJ13" s="99">
        <f t="shared" si="11"/>
        <v>31602.078433144023</v>
      </c>
      <c r="AK13" s="99">
        <f t="shared" si="11"/>
        <v>26661.568052384548</v>
      </c>
      <c r="AL13" s="99">
        <f t="shared" si="11"/>
        <v>16763.16314780946</v>
      </c>
      <c r="AM13" s="99">
        <f t="shared" si="11"/>
        <v>11822.857367096336</v>
      </c>
      <c r="AN13" s="99">
        <f t="shared" si="11"/>
        <v>1924.6582560678833</v>
      </c>
      <c r="AO13" s="99">
        <f t="shared" si="11"/>
        <v>-3015.440530636274</v>
      </c>
      <c r="AP13" s="97">
        <f t="shared" si="8"/>
        <v>151059.87114388123</v>
      </c>
      <c r="AQ13" s="99">
        <f>AQ9-AQ10-AQ12-AQ11</f>
        <v>171359.2256587688</v>
      </c>
      <c r="AR13" s="99">
        <f>AR9-AR10-AR12-AR11</f>
        <v>190141.8745985988</v>
      </c>
      <c r="AS13" s="99">
        <f>AS9-AS10-AS12-AS11</f>
        <v>208981.5819114586</v>
      </c>
      <c r="AT13" s="99">
        <f>AT9-AT10-AT12-AT11</f>
        <v>227885.6814074297</v>
      </c>
      <c r="AU13" s="99">
        <f>AU9-AU10-AU12-AU11</f>
        <v>246802.98459800342</v>
      </c>
    </row>
    <row r="14" spans="1:47" ht="15" customHeight="1">
      <c r="A14" s="101" t="s">
        <v>215</v>
      </c>
      <c r="B14" s="96">
        <f>P14+AC14+AP14+AQ14+AR14+AS14+AT14+AU14</f>
        <v>247524.3875760641</v>
      </c>
      <c r="C14" s="97"/>
      <c r="D14" s="132">
        <f>IF(D13+C16&lt;0,0,IF(C16&lt;0,(C16+D13)*Исх!$C$20,D13*Исх!$C$20))</f>
        <v>0</v>
      </c>
      <c r="E14" s="132">
        <f>IF(E13+D16&lt;0,0,IF(D16&lt;0,(D16+E13)*Исх!$C$20,E13*Исх!$C$20))</f>
        <v>0</v>
      </c>
      <c r="F14" s="132">
        <f>IF(F13+E16&lt;0,0,IF(E16&lt;0,(E16+F13)*Исх!$C$20,F13*Исх!$C$20))</f>
        <v>0</v>
      </c>
      <c r="G14" s="132">
        <f>IF(G13+F16&lt;0,0,IF(F16&lt;0,(F16+G13)*Исх!$C$20,G13*Исх!$C$20))</f>
        <v>0</v>
      </c>
      <c r="H14" s="132">
        <f>IF(H13+G16&lt;0,0,IF(G16&lt;0,(G16+H13)*Исх!$C$20,H13*Исх!$C$20))</f>
        <v>0</v>
      </c>
      <c r="I14" s="132">
        <f>IF(I13+H16&lt;0,0,IF(H16&lt;0,(H16+I13)*Исх!$C$20,I13*Исх!$C$20))</f>
        <v>0</v>
      </c>
      <c r="J14" s="132">
        <f>IF(J13+I16&lt;0,0,IF(I16&lt;0,(I16+J13)*Исх!$C$20,J13*Исх!$C$20))</f>
        <v>0</v>
      </c>
      <c r="K14" s="132">
        <f>IF(K13+J16&lt;0,0,IF(J16&lt;0,(J16+K13)*Исх!$C$20,K13*Исх!$C$20))</f>
        <v>0</v>
      </c>
      <c r="L14" s="132">
        <f>IF(L13+K16&lt;0,0,IF(K16&lt;0,(K16+L13)*Исх!$C$20,L13*Исх!$C$20))</f>
        <v>0</v>
      </c>
      <c r="M14" s="132">
        <f>IF(M13+L16&lt;0,0,IF(L16&lt;0,(L16+M13)*Исх!$C$20,M13*Исх!$C$20))</f>
        <v>0</v>
      </c>
      <c r="N14" s="132">
        <f>IF(N13+M16&lt;0,0,IF(M16&lt;0,(M16+N13)*Исх!$C$20,N13*Исх!$C$20))</f>
        <v>0</v>
      </c>
      <c r="O14" s="132">
        <f>IF(O13+N16&lt;0,0,IF(N16&lt;0,(N16+O13)*Исх!$C$20,O13*Исх!$C$20))</f>
        <v>0</v>
      </c>
      <c r="P14" s="97">
        <f t="shared" si="6"/>
        <v>0</v>
      </c>
      <c r="Q14" s="132">
        <f>IF(Q13+P16&lt;0,0,IF(P16&lt;0,(P16+Q13)*Исх!$C$20,Q13*Исх!$C$20))</f>
        <v>0</v>
      </c>
      <c r="R14" s="132">
        <f>IF(R13+Q16&lt;0,0,IF(Q16&lt;0,(Q16+R13)*Исх!$C$20,R13*Исх!$C$20))</f>
        <v>0</v>
      </c>
      <c r="S14" s="132">
        <f>IF(S13+R16&lt;0,0,IF(R16&lt;0,(R16+S13)*Исх!$C$20,S13*Исх!$C$20))</f>
        <v>0</v>
      </c>
      <c r="T14" s="132">
        <f>IF(T13+S16&lt;0,0,IF(S16&lt;0,(S16+T13)*Исх!$C$20,T13*Исх!$C$20))</f>
        <v>0</v>
      </c>
      <c r="U14" s="132">
        <f>IF(U13+T16&lt;0,0,IF(T16&lt;0,(T16+U13)*Исх!$C$20,U13*Исх!$C$20))</f>
        <v>0</v>
      </c>
      <c r="V14" s="132">
        <f>IF(V13+U16&lt;0,0,IF(U16&lt;0,(U16+V13)*Исх!$C$20,V13*Исх!$C$20))</f>
        <v>744.4276368223706</v>
      </c>
      <c r="W14" s="132">
        <f>IF(W13+V16&lt;0,0,IF(V16&lt;0,(V16+W13)*Исх!$C$20,W13*Исх!$C$20))</f>
        <v>3219.8644885787844</v>
      </c>
      <c r="X14" s="132">
        <f>IF(X13+W16&lt;0,0,IF(W16&lt;0,(W16+X13)*Исх!$C$20,X13*Исх!$C$20))</f>
        <v>2616.228033896877</v>
      </c>
      <c r="Y14" s="132">
        <f>IF(Y13+X16&lt;0,0,IF(X16&lt;0,(X16+Y13)*Исх!$C$20,Y13*Исх!$C$20))</f>
        <v>1750.0994768951105</v>
      </c>
      <c r="Z14" s="132">
        <f>IF(Z13+Y16&lt;0,0,IF(Y16&lt;0,(Y16+Z13)*Исх!$C$20,Z13*Исх!$C$20))</f>
        <v>1088.067949508227</v>
      </c>
      <c r="AA14" s="132">
        <f>IF(AA13+Z16&lt;0,0,IF(Z16&lt;0,(Z16+AA13)*Исх!$C$20,AA13*Исх!$C$20))</f>
        <v>-239.27547685829697</v>
      </c>
      <c r="AB14" s="132">
        <f>IF(AB13+AA16&lt;0,0,IF(AA16&lt;0,(AA16+AB13)*Исх!$C$20,AB13*Исх!$C$20))</f>
        <v>-901.2683964071196</v>
      </c>
      <c r="AC14" s="97">
        <f t="shared" si="7"/>
        <v>8278.143712435955</v>
      </c>
      <c r="AD14" s="132">
        <f>IF(AD13+AC16&lt;0,0,IF(AC16&lt;0,(AC16+AD13)*Исх!$C$20,AD13*Исх!$C$20))</f>
        <v>-641.3409920618806</v>
      </c>
      <c r="AE14" s="132">
        <f>IF(AE13+AD16&lt;0,0,IF(AD16&lt;0,(AD16+AE13)*Исх!$C$20,AE13*Исх!$C$20))</f>
        <v>849.4352526246154</v>
      </c>
      <c r="AF14" s="132">
        <f>IF(AF13+AE16&lt;0,0,IF(AE16&lt;0,(AE16+AF13)*Исх!$C$20,AF13*Исх!$C$20))</f>
        <v>1348.631892884418</v>
      </c>
      <c r="AG14" s="132">
        <f>IF(AG13+AF16&lt;0,0,IF(AF16&lt;0,(AF16+AG13)*Исх!$C$20,AG13*Исх!$C$20))</f>
        <v>2343.648001538518</v>
      </c>
      <c r="AH14" s="132">
        <f>IF(AH13+AG16&lt;0,0,IF(AG16&lt;0,(AG16+AH13)*Исх!$C$20,AH13*Исх!$C$20))</f>
        <v>3834.4836941788562</v>
      </c>
      <c r="AI14" s="132">
        <f>IF(AI13+AH16&lt;0,0,IF(AH16&lt;0,(AH16+AI13)*Исх!$C$20,AI13*Исх!$C$20))</f>
        <v>5325.33943443852</v>
      </c>
      <c r="AJ14" s="132">
        <f>IF(AJ13+AI16&lt;0,0,IF(AI16&lt;0,(AI16+AJ13)*Исх!$C$20,AJ13*Исх!$C$20))</f>
        <v>6320.415686628805</v>
      </c>
      <c r="AK14" s="132">
        <f>IF(AK13+AJ16&lt;0,0,IF(AJ16&lt;0,(AJ16+AK13)*Исх!$C$20,AK13*Исх!$C$20))</f>
        <v>5332.31361047691</v>
      </c>
      <c r="AL14" s="132">
        <f>IF(AL13+AK16&lt;0,0,IF(AK16&lt;0,(AK16+AL13)*Исх!$C$20,AL13*Исх!$C$20))</f>
        <v>3352.6326295618924</v>
      </c>
      <c r="AM14" s="132">
        <f>IF(AM13+AL16&lt;0,0,IF(AL16&lt;0,(AL16+AM13)*Исх!$C$20,AM13*Исх!$C$20))</f>
        <v>2364.5714734192675</v>
      </c>
      <c r="AN14" s="132">
        <f>IF(AN13+AM16&lt;0,0,IF(AM16&lt;0,(AM16+AN13)*Исх!$C$20,AN13*Исх!$C$20))</f>
        <v>384.9316512135767</v>
      </c>
      <c r="AO14" s="132">
        <f>IF(AO13+AN16&lt;0,0,IF(AN16&lt;0,(AN16+AO13)*Исх!$C$20,AO13*Исх!$C$20))</f>
        <v>-603.0881061272548</v>
      </c>
      <c r="AP14" s="97">
        <f t="shared" si="8"/>
        <v>30211.974228776242</v>
      </c>
      <c r="AQ14" s="132">
        <f>IF(AQ13+AP16&lt;0,0,IF(AP16&lt;0,(AP16+AQ13)*Исх!$C$20,AQ13*Исх!$C$20))</f>
        <v>34271.84513175376</v>
      </c>
      <c r="AR14" s="132">
        <f>IF(AR13+AQ16&lt;0,0,IF(AQ16&lt;0,(AQ16+AR13)*Исх!$C$20,AR13*Исх!$C$20))</f>
        <v>38028.37491971976</v>
      </c>
      <c r="AS14" s="132">
        <f>IF(AS13+AR16&lt;0,0,IF(AR16&lt;0,(AR16+AS13)*Исх!$C$20,AS13*Исх!$C$20))</f>
        <v>41796.31638229173</v>
      </c>
      <c r="AT14" s="132">
        <f>IF(AT13+AS16&lt;0,0,IF(AS16&lt;0,(AS16+AT13)*Исх!$C$20,AT13*Исх!$C$20))</f>
        <v>45577.136281485946</v>
      </c>
      <c r="AU14" s="132">
        <f>IF(AU13+AT16&lt;0,0,IF(AT16&lt;0,(AT16+AU13)*Исх!$C$20,AU13*Исх!$C$20))</f>
        <v>49360.596919600684</v>
      </c>
    </row>
    <row r="15" spans="1:47" ht="15" customHeight="1">
      <c r="A15" s="101" t="s">
        <v>4</v>
      </c>
      <c r="B15" s="96">
        <f>B13-B14</f>
        <v>990097.5503042561</v>
      </c>
      <c r="C15" s="100"/>
      <c r="D15" s="99">
        <f aca="true" t="shared" si="12" ref="D15:Q15">D13-D14</f>
        <v>0</v>
      </c>
      <c r="E15" s="99">
        <f>E13-E14</f>
        <v>0</v>
      </c>
      <c r="F15" s="99">
        <f t="shared" si="12"/>
        <v>0</v>
      </c>
      <c r="G15" s="99">
        <f t="shared" si="12"/>
        <v>0</v>
      </c>
      <c r="H15" s="99">
        <f t="shared" si="12"/>
        <v>0</v>
      </c>
      <c r="I15" s="99">
        <f t="shared" si="12"/>
        <v>0</v>
      </c>
      <c r="J15" s="99">
        <f t="shared" si="12"/>
        <v>0</v>
      </c>
      <c r="K15" s="99">
        <f t="shared" si="12"/>
        <v>0</v>
      </c>
      <c r="L15" s="99">
        <f t="shared" si="12"/>
        <v>-410.55840700000005</v>
      </c>
      <c r="M15" s="99">
        <f t="shared" si="12"/>
        <v>-530.9277820000001</v>
      </c>
      <c r="N15" s="99">
        <f t="shared" si="12"/>
        <v>-1105.7788770000002</v>
      </c>
      <c r="O15" s="99">
        <f t="shared" si="12"/>
        <v>-1457.5242733333337</v>
      </c>
      <c r="P15" s="97">
        <f t="shared" si="6"/>
        <v>-3504.7893393333343</v>
      </c>
      <c r="Q15" s="99">
        <f t="shared" si="12"/>
        <v>-7829.334436845239</v>
      </c>
      <c r="R15" s="99">
        <f aca="true" t="shared" si="13" ref="R15:AR15">R13-R14</f>
        <v>-7829.334436845239</v>
      </c>
      <c r="S15" s="99">
        <f t="shared" si="13"/>
        <v>154.63932426653173</v>
      </c>
      <c r="T15" s="99">
        <f t="shared" si="13"/>
        <v>2815.963911303791</v>
      </c>
      <c r="U15" s="99">
        <f t="shared" si="13"/>
        <v>6807.950791859677</v>
      </c>
      <c r="V15" s="99">
        <f t="shared" si="13"/>
        <v>12362.614732883292</v>
      </c>
      <c r="W15" s="99">
        <f t="shared" si="13"/>
        <v>12879.457954315138</v>
      </c>
      <c r="X15" s="99">
        <f t="shared" si="13"/>
        <v>10464.912135587507</v>
      </c>
      <c r="Y15" s="99">
        <f t="shared" si="13"/>
        <v>7000.397907580441</v>
      </c>
      <c r="Z15" s="99">
        <f t="shared" si="13"/>
        <v>4352.271798032908</v>
      </c>
      <c r="AA15" s="99">
        <f t="shared" si="13"/>
        <v>-957.1019074331878</v>
      </c>
      <c r="AB15" s="99">
        <f t="shared" si="13"/>
        <v>-3605.073585628478</v>
      </c>
      <c r="AC15" s="97">
        <f t="shared" si="7"/>
        <v>36617.36418907715</v>
      </c>
      <c r="AD15" s="99">
        <f aca="true" t="shared" si="14" ref="AD15:AO15">AD13-AD14</f>
        <v>-2565.363968247522</v>
      </c>
      <c r="AE15" s="99">
        <f t="shared" si="14"/>
        <v>3397.7410104984615</v>
      </c>
      <c r="AF15" s="99">
        <f t="shared" si="14"/>
        <v>5394.527571537672</v>
      </c>
      <c r="AG15" s="99">
        <f t="shared" si="14"/>
        <v>9374.592006154073</v>
      </c>
      <c r="AH15" s="99">
        <f t="shared" si="14"/>
        <v>15337.934776715425</v>
      </c>
      <c r="AI15" s="99">
        <f t="shared" si="14"/>
        <v>21301.35773775408</v>
      </c>
      <c r="AJ15" s="99">
        <f t="shared" si="14"/>
        <v>25281.66274651522</v>
      </c>
      <c r="AK15" s="99">
        <f t="shared" si="14"/>
        <v>21329.254441907637</v>
      </c>
      <c r="AL15" s="99">
        <f t="shared" si="14"/>
        <v>13410.530518247568</v>
      </c>
      <c r="AM15" s="99">
        <f t="shared" si="14"/>
        <v>9458.285893677068</v>
      </c>
      <c r="AN15" s="99">
        <f t="shared" si="14"/>
        <v>1539.7266048543065</v>
      </c>
      <c r="AO15" s="99">
        <f t="shared" si="14"/>
        <v>-2412.3524245090193</v>
      </c>
      <c r="AP15" s="97">
        <f t="shared" si="8"/>
        <v>120847.89691510495</v>
      </c>
      <c r="AQ15" s="99">
        <f t="shared" si="13"/>
        <v>137087.38052701502</v>
      </c>
      <c r="AR15" s="99">
        <f t="shared" si="13"/>
        <v>152113.49967887904</v>
      </c>
      <c r="AS15" s="99">
        <f>AS13-AS14</f>
        <v>167185.26552916688</v>
      </c>
      <c r="AT15" s="99">
        <f>AT13-AT14</f>
        <v>182308.54512594378</v>
      </c>
      <c r="AU15" s="99">
        <f>AU13-AU14</f>
        <v>197442.38767840274</v>
      </c>
    </row>
    <row r="16" spans="1:47" ht="15" customHeight="1">
      <c r="A16" s="101" t="s">
        <v>32</v>
      </c>
      <c r="B16" s="102">
        <f>AU16</f>
        <v>990097.5503042561</v>
      </c>
      <c r="C16" s="103"/>
      <c r="D16" s="99">
        <f>C16+D15</f>
        <v>0</v>
      </c>
      <c r="E16" s="99">
        <f>D16+E15</f>
        <v>0</v>
      </c>
      <c r="F16" s="99">
        <f aca="true" t="shared" si="15" ref="F16:O16">E16+F15</f>
        <v>0</v>
      </c>
      <c r="G16" s="99">
        <f t="shared" si="15"/>
        <v>0</v>
      </c>
      <c r="H16" s="99">
        <f t="shared" si="15"/>
        <v>0</v>
      </c>
      <c r="I16" s="99">
        <f t="shared" si="15"/>
        <v>0</v>
      </c>
      <c r="J16" s="99">
        <f t="shared" si="15"/>
        <v>0</v>
      </c>
      <c r="K16" s="99">
        <f t="shared" si="15"/>
        <v>0</v>
      </c>
      <c r="L16" s="99">
        <f t="shared" si="15"/>
        <v>-410.55840700000005</v>
      </c>
      <c r="M16" s="99">
        <f t="shared" si="15"/>
        <v>-941.4861890000002</v>
      </c>
      <c r="N16" s="99">
        <f t="shared" si="15"/>
        <v>-2047.2650660000004</v>
      </c>
      <c r="O16" s="99">
        <f t="shared" si="15"/>
        <v>-3504.7893393333343</v>
      </c>
      <c r="P16" s="97">
        <f>O16</f>
        <v>-3504.7893393333343</v>
      </c>
      <c r="Q16" s="99">
        <f>P16+Q15</f>
        <v>-11334.123776178574</v>
      </c>
      <c r="R16" s="99">
        <f aca="true" t="shared" si="16" ref="R16:AA16">Q16+R15</f>
        <v>-19163.458213023812</v>
      </c>
      <c r="S16" s="99">
        <f t="shared" si="16"/>
        <v>-19008.81888875728</v>
      </c>
      <c r="T16" s="99">
        <f t="shared" si="16"/>
        <v>-16192.854977453488</v>
      </c>
      <c r="U16" s="99">
        <f t="shared" si="16"/>
        <v>-9384.90418559381</v>
      </c>
      <c r="V16" s="99">
        <f t="shared" si="16"/>
        <v>2977.710547289482</v>
      </c>
      <c r="W16" s="99">
        <f t="shared" si="16"/>
        <v>15857.16850160462</v>
      </c>
      <c r="X16" s="99">
        <f t="shared" si="16"/>
        <v>26322.080637192128</v>
      </c>
      <c r="Y16" s="99">
        <f t="shared" si="16"/>
        <v>33322.478544772566</v>
      </c>
      <c r="Z16" s="99">
        <f t="shared" si="16"/>
        <v>37674.75034280548</v>
      </c>
      <c r="AA16" s="99">
        <f t="shared" si="16"/>
        <v>36717.64843537229</v>
      </c>
      <c r="AB16" s="99">
        <f>AA16+AB15</f>
        <v>33112.57484974381</v>
      </c>
      <c r="AC16" s="97">
        <f>AB16</f>
        <v>33112.57484974381</v>
      </c>
      <c r="AD16" s="99">
        <f aca="true" t="shared" si="17" ref="AD16:AO16">AC16+AD15</f>
        <v>30547.21088149629</v>
      </c>
      <c r="AE16" s="99">
        <f t="shared" si="17"/>
        <v>33944.95189199475</v>
      </c>
      <c r="AF16" s="99">
        <f t="shared" si="17"/>
        <v>39339.47946353242</v>
      </c>
      <c r="AG16" s="99">
        <f t="shared" si="17"/>
        <v>48714.071469686496</v>
      </c>
      <c r="AH16" s="99">
        <f t="shared" si="17"/>
        <v>64052.00624640192</v>
      </c>
      <c r="AI16" s="99">
        <f t="shared" si="17"/>
        <v>85353.36398415599</v>
      </c>
      <c r="AJ16" s="99">
        <f t="shared" si="17"/>
        <v>110635.0267306712</v>
      </c>
      <c r="AK16" s="99">
        <f t="shared" si="17"/>
        <v>131964.28117257883</v>
      </c>
      <c r="AL16" s="99">
        <f t="shared" si="17"/>
        <v>145374.8116908264</v>
      </c>
      <c r="AM16" s="99">
        <f t="shared" si="17"/>
        <v>154833.09758450347</v>
      </c>
      <c r="AN16" s="99">
        <f t="shared" si="17"/>
        <v>156372.82418935778</v>
      </c>
      <c r="AO16" s="99">
        <f t="shared" si="17"/>
        <v>153960.47176484877</v>
      </c>
      <c r="AP16" s="97">
        <f>AO16</f>
        <v>153960.47176484877</v>
      </c>
      <c r="AQ16" s="99">
        <f>AP16+AQ15</f>
        <v>291047.85229186376</v>
      </c>
      <c r="AR16" s="99">
        <f>AQ16+AR15</f>
        <v>443161.3519707428</v>
      </c>
      <c r="AS16" s="99">
        <f>AR16+AS15</f>
        <v>610346.6174999097</v>
      </c>
      <c r="AT16" s="99">
        <f>AS16+AT15</f>
        <v>792655.1626258534</v>
      </c>
      <c r="AU16" s="99">
        <f>AT16+AU15</f>
        <v>990097.5503042561</v>
      </c>
    </row>
    <row r="17" spans="1:190" ht="15" customHeigh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  <c r="GC17" s="104"/>
      <c r="GD17" s="104"/>
      <c r="GE17" s="104"/>
      <c r="GF17" s="104"/>
      <c r="GG17" s="104"/>
      <c r="GH17" s="104"/>
    </row>
    <row r="18" spans="1:47" ht="12.75">
      <c r="A18" s="106" t="s">
        <v>53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60" s="110" customFormat="1" ht="12.75">
      <c r="A19" s="329" t="s">
        <v>3</v>
      </c>
      <c r="B19" s="332" t="s">
        <v>89</v>
      </c>
      <c r="C19" s="107"/>
      <c r="D19" s="322">
        <f>D3</f>
        <v>2013</v>
      </c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5"/>
      <c r="Q19" s="322">
        <f>Q3</f>
        <v>2014</v>
      </c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5"/>
      <c r="AD19" s="321">
        <f>AD3</f>
        <v>2015</v>
      </c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3"/>
      <c r="AQ19" s="108">
        <f>AQ3</f>
        <v>2016</v>
      </c>
      <c r="AR19" s="108">
        <f>AR3</f>
        <v>2017</v>
      </c>
      <c r="AS19" s="108">
        <f>AS3</f>
        <v>2018</v>
      </c>
      <c r="AT19" s="108">
        <f>AT3</f>
        <v>2019</v>
      </c>
      <c r="AU19" s="108">
        <f>AU3</f>
        <v>2020</v>
      </c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</row>
    <row r="20" spans="1:60" s="110" customFormat="1" ht="12.75">
      <c r="A20" s="330"/>
      <c r="B20" s="333"/>
      <c r="C20" s="111"/>
      <c r="D20" s="112">
        <f>D4</f>
        <v>1</v>
      </c>
      <c r="E20" s="112">
        <f aca="true" t="shared" si="18" ref="E20:O20">E4</f>
        <v>2</v>
      </c>
      <c r="F20" s="112">
        <f t="shared" si="18"/>
        <v>3</v>
      </c>
      <c r="G20" s="112">
        <f t="shared" si="18"/>
        <v>4</v>
      </c>
      <c r="H20" s="112">
        <f t="shared" si="18"/>
        <v>5</v>
      </c>
      <c r="I20" s="112">
        <f t="shared" si="18"/>
        <v>6</v>
      </c>
      <c r="J20" s="112">
        <f t="shared" si="18"/>
        <v>7</v>
      </c>
      <c r="K20" s="112">
        <f t="shared" si="18"/>
        <v>8</v>
      </c>
      <c r="L20" s="112">
        <f t="shared" si="18"/>
        <v>9</v>
      </c>
      <c r="M20" s="112">
        <f t="shared" si="18"/>
        <v>10</v>
      </c>
      <c r="N20" s="112">
        <f t="shared" si="18"/>
        <v>11</v>
      </c>
      <c r="O20" s="112">
        <f t="shared" si="18"/>
        <v>12</v>
      </c>
      <c r="P20" s="113" t="s">
        <v>0</v>
      </c>
      <c r="Q20" s="112">
        <f>Q4</f>
        <v>1</v>
      </c>
      <c r="R20" s="112">
        <f aca="true" t="shared" si="19" ref="R20:AB20">R4</f>
        <v>2</v>
      </c>
      <c r="S20" s="112">
        <f t="shared" si="19"/>
        <v>3</v>
      </c>
      <c r="T20" s="112">
        <f t="shared" si="19"/>
        <v>4</v>
      </c>
      <c r="U20" s="112">
        <f t="shared" si="19"/>
        <v>5</v>
      </c>
      <c r="V20" s="112">
        <f t="shared" si="19"/>
        <v>6</v>
      </c>
      <c r="W20" s="112">
        <f t="shared" si="19"/>
        <v>7</v>
      </c>
      <c r="X20" s="112">
        <f t="shared" si="19"/>
        <v>8</v>
      </c>
      <c r="Y20" s="112">
        <f t="shared" si="19"/>
        <v>9</v>
      </c>
      <c r="Z20" s="112">
        <f t="shared" si="19"/>
        <v>10</v>
      </c>
      <c r="AA20" s="112">
        <f t="shared" si="19"/>
        <v>11</v>
      </c>
      <c r="AB20" s="112">
        <f t="shared" si="19"/>
        <v>12</v>
      </c>
      <c r="AC20" s="113" t="s">
        <v>0</v>
      </c>
      <c r="AD20" s="112">
        <f>AD4</f>
        <v>1</v>
      </c>
      <c r="AE20" s="112">
        <f aca="true" t="shared" si="20" ref="AE20:AO20">AE4</f>
        <v>2</v>
      </c>
      <c r="AF20" s="112">
        <f t="shared" si="20"/>
        <v>3</v>
      </c>
      <c r="AG20" s="112">
        <f t="shared" si="20"/>
        <v>4</v>
      </c>
      <c r="AH20" s="112">
        <f t="shared" si="20"/>
        <v>5</v>
      </c>
      <c r="AI20" s="112">
        <f t="shared" si="20"/>
        <v>6</v>
      </c>
      <c r="AJ20" s="112">
        <f t="shared" si="20"/>
        <v>7</v>
      </c>
      <c r="AK20" s="112">
        <f t="shared" si="20"/>
        <v>8</v>
      </c>
      <c r="AL20" s="112">
        <f t="shared" si="20"/>
        <v>9</v>
      </c>
      <c r="AM20" s="112">
        <f t="shared" si="20"/>
        <v>10</v>
      </c>
      <c r="AN20" s="112">
        <f t="shared" si="20"/>
        <v>11</v>
      </c>
      <c r="AO20" s="112">
        <f t="shared" si="20"/>
        <v>12</v>
      </c>
      <c r="AP20" s="113" t="s">
        <v>0</v>
      </c>
      <c r="AQ20" s="113" t="s">
        <v>111</v>
      </c>
      <c r="AR20" s="113" t="s">
        <v>111</v>
      </c>
      <c r="AS20" s="113" t="s">
        <v>111</v>
      </c>
      <c r="AT20" s="113" t="s">
        <v>111</v>
      </c>
      <c r="AU20" s="113" t="s">
        <v>111</v>
      </c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</row>
    <row r="21" spans="1:60" s="110" customFormat="1" ht="12.75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</row>
    <row r="22" spans="1:60" s="110" customFormat="1" ht="12.75">
      <c r="A22" s="114" t="s">
        <v>162</v>
      </c>
      <c r="B22" s="96">
        <f>P22+AC22+AP22+AQ22+AR22+AS22+AT22+AU22</f>
        <v>778859.7119999999</v>
      </c>
      <c r="C22" s="116"/>
      <c r="D22" s="116">
        <f aca="true" t="shared" si="21" ref="D22:O22">D5*ндс</f>
        <v>0</v>
      </c>
      <c r="E22" s="116">
        <f t="shared" si="21"/>
        <v>0</v>
      </c>
      <c r="F22" s="116">
        <f t="shared" si="21"/>
        <v>0</v>
      </c>
      <c r="G22" s="116">
        <f t="shared" si="21"/>
        <v>0</v>
      </c>
      <c r="H22" s="116">
        <f t="shared" si="21"/>
        <v>0</v>
      </c>
      <c r="I22" s="116">
        <f t="shared" si="21"/>
        <v>0</v>
      </c>
      <c r="J22" s="116">
        <f t="shared" si="21"/>
        <v>0</v>
      </c>
      <c r="K22" s="116">
        <f t="shared" si="21"/>
        <v>0</v>
      </c>
      <c r="L22" s="116">
        <f t="shared" si="21"/>
        <v>0</v>
      </c>
      <c r="M22" s="116">
        <f t="shared" si="21"/>
        <v>0</v>
      </c>
      <c r="N22" s="116">
        <f t="shared" si="21"/>
        <v>0</v>
      </c>
      <c r="O22" s="116">
        <f t="shared" si="21"/>
        <v>0</v>
      </c>
      <c r="P22" s="117">
        <f>SUM(D22:O22)</f>
        <v>0</v>
      </c>
      <c r="Q22" s="116">
        <f aca="true" t="shared" si="22" ref="Q22:AB22">Q5*ндс</f>
        <v>0</v>
      </c>
      <c r="R22" s="116">
        <f t="shared" si="22"/>
        <v>0</v>
      </c>
      <c r="S22" s="116">
        <f t="shared" si="22"/>
        <v>3234.816</v>
      </c>
      <c r="T22" s="116">
        <f t="shared" si="22"/>
        <v>4313.088</v>
      </c>
      <c r="U22" s="116">
        <f t="shared" si="22"/>
        <v>5930.495999999999</v>
      </c>
      <c r="V22" s="116">
        <f t="shared" si="22"/>
        <v>8491.392</v>
      </c>
      <c r="W22" s="116">
        <f t="shared" si="22"/>
        <v>9704.447999999999</v>
      </c>
      <c r="X22" s="116">
        <f t="shared" si="22"/>
        <v>8491.392</v>
      </c>
      <c r="Y22" s="116">
        <f t="shared" si="22"/>
        <v>6739.2</v>
      </c>
      <c r="Z22" s="116">
        <f t="shared" si="22"/>
        <v>5391.359999999999</v>
      </c>
      <c r="AA22" s="116">
        <f t="shared" si="22"/>
        <v>2695.6799999999994</v>
      </c>
      <c r="AB22" s="116">
        <f t="shared" si="22"/>
        <v>1347.8399999999997</v>
      </c>
      <c r="AC22" s="117">
        <f>SUM(Q22:AB22)</f>
        <v>56339.71199999999</v>
      </c>
      <c r="AD22" s="116">
        <f aca="true" t="shared" si="23" ref="AD22:AO22">AD5*ндс</f>
        <v>2008.8</v>
      </c>
      <c r="AE22" s="116">
        <f t="shared" si="23"/>
        <v>5022</v>
      </c>
      <c r="AF22" s="116">
        <f t="shared" si="23"/>
        <v>6026.4</v>
      </c>
      <c r="AG22" s="116">
        <f t="shared" si="23"/>
        <v>8035.2</v>
      </c>
      <c r="AH22" s="116">
        <f t="shared" si="23"/>
        <v>11048.4</v>
      </c>
      <c r="AI22" s="116">
        <f t="shared" si="23"/>
        <v>14061.6</v>
      </c>
      <c r="AJ22" s="116">
        <f t="shared" si="23"/>
        <v>16070.4</v>
      </c>
      <c r="AK22" s="116">
        <f t="shared" si="23"/>
        <v>14061.6</v>
      </c>
      <c r="AL22" s="116">
        <f t="shared" si="23"/>
        <v>10044</v>
      </c>
      <c r="AM22" s="116">
        <f t="shared" si="23"/>
        <v>8035.2</v>
      </c>
      <c r="AN22" s="116">
        <f t="shared" si="23"/>
        <v>4017.6</v>
      </c>
      <c r="AO22" s="116">
        <f t="shared" si="23"/>
        <v>2008.8</v>
      </c>
      <c r="AP22" s="117">
        <f>SUM(AD22:AO22)</f>
        <v>100440.00000000001</v>
      </c>
      <c r="AQ22" s="116">
        <f>AQ5*ндс</f>
        <v>108863.99999999997</v>
      </c>
      <c r="AR22" s="116">
        <f>AR5*ндс</f>
        <v>116639.99999999999</v>
      </c>
      <c r="AS22" s="116">
        <f>AS5*ндс</f>
        <v>124415.99999999999</v>
      </c>
      <c r="AT22" s="116">
        <f>AT5*ндс</f>
        <v>132191.99999999997</v>
      </c>
      <c r="AU22" s="116">
        <f>AU5*ндс</f>
        <v>139967.99999999997</v>
      </c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</row>
    <row r="23" spans="1:60" s="110" customFormat="1" ht="12.75">
      <c r="A23" s="114" t="s">
        <v>163</v>
      </c>
      <c r="B23" s="96">
        <f>P23+AC23+AP23+AQ23+AR23+AS23+AT23+AU23</f>
        <v>574267.7084970864</v>
      </c>
      <c r="C23" s="116"/>
      <c r="D23" s="116"/>
      <c r="E23" s="116"/>
      <c r="F23" s="116"/>
      <c r="G23" s="116"/>
      <c r="H23" s="116"/>
      <c r="I23" s="284">
        <f>('1-Ф3'!I12/Исх!$C$19-'2-ф2'!I8)*ндс</f>
        <v>0</v>
      </c>
      <c r="J23" s="116"/>
      <c r="K23" s="116"/>
      <c r="L23" s="116"/>
      <c r="M23" s="116"/>
      <c r="N23" s="116"/>
      <c r="O23" s="116">
        <f>('1-Ф3'!O12/Исх!$C$19)*ндс</f>
        <v>5472.930645833141</v>
      </c>
      <c r="P23" s="117">
        <f>SUM(D23:O23)</f>
        <v>5472.930645833141</v>
      </c>
      <c r="Q23" s="116">
        <f>('1-Ф3'!Q12/Исх!$C$19+Q10-Пост!$D$5-Пост!$D$23-Пост!$D$26)*ндс</f>
        <v>2853.0834389165707</v>
      </c>
      <c r="R23" s="116">
        <f>('1-Ф3'!R12/Исх!$C$19+R10-Пост!$D$5-Пост!$D$23-Пост!$D$26)*ндс</f>
        <v>2853.0834389165707</v>
      </c>
      <c r="S23" s="116">
        <f>('1-Ф3'!S12/Исх!$C$19+S10-Пост!$D$5-Пост!$D$23-Пост!$D$26)*ндс</f>
        <v>3309.1609927359996</v>
      </c>
      <c r="T23" s="116">
        <f>('1-Ф3'!T12/Исх!$C$19+T10-Пост!$D$5-Пост!$D$23-Пост!$D$26)*ндс</f>
        <v>3765.2385465554285</v>
      </c>
      <c r="U23" s="116">
        <f>('1-Ф3'!U12/Исх!$C$19+U10-Пост!$D$5-Пост!$D$23-Пост!$D$26)*ндс</f>
        <v>4221.316100374855</v>
      </c>
      <c r="V23" s="116">
        <f>('1-Ф3'!V12/Исх!$C$19+V10-Пост!$D$5-Пост!$D$23-Пост!$D$26)*ндс</f>
        <v>4221.316100374855</v>
      </c>
      <c r="W23" s="116">
        <f>('1-Ф3'!W12/Исх!$C$19+W10-Пост!$D$5-Пост!$D$23-Пост!$D$26)*ндс</f>
        <v>4221.316100374855</v>
      </c>
      <c r="X23" s="116">
        <f>('1-Ф3'!X12/Исх!$C$19+X10-Пост!$D$5-Пост!$D$23-Пост!$D$26)*ндс</f>
        <v>4221.316100374855</v>
      </c>
      <c r="Y23" s="116">
        <f>('1-Ф3'!Y12/Исх!$C$19+Y10-Пост!$D$5-Пост!$D$23-Пост!$D$26)*ндс</f>
        <v>4677.393654194284</v>
      </c>
      <c r="Z23" s="116">
        <f>('1-Ф3'!Z12/Исх!$C$19+Z10-Пост!$D$5-Пост!$D$23-Пост!$D$26)*ндс</f>
        <v>4677.393654194284</v>
      </c>
      <c r="AA23" s="116">
        <f>('1-Ф3'!AA12/Исх!$C$19+AA10-Пост!$D$5-Пост!$D$23-Пост!$D$26)*ндс</f>
        <v>4677.393654194284</v>
      </c>
      <c r="AB23" s="116">
        <f>('1-Ф3'!AB12/Исх!$C$19+AB10-Пост!$D$5-Пост!$D$23-Пост!$D$26)*ндс</f>
        <v>5133.471208013712</v>
      </c>
      <c r="AC23" s="117">
        <f>SUM(Q23:AB23)</f>
        <v>48831.482989220545</v>
      </c>
      <c r="AD23" s="116">
        <f>('1-Ф3'!AD12/Исх!$C$19+AD10-Пост!$E$5-Пост!$E$23-Пост!$E$26)*ндс</f>
        <v>5610.166953333141</v>
      </c>
      <c r="AE23" s="116">
        <f>('1-Ф3'!AE12/Исх!$C$19+AE10-Пост!$E$5-Пост!$E$23-Пост!$E$26)*ндс</f>
        <v>5610.166953333141</v>
      </c>
      <c r="AF23" s="116">
        <f>('1-Ф3'!AF12/Исх!$C$19+AF10-Пост!$E$5-Пост!$E$23-Пост!$E$26)*ндс</f>
        <v>6066.24450715257</v>
      </c>
      <c r="AG23" s="116">
        <f>('1-Ф3'!AG12/Исх!$C$19+AG10-Пост!$E$5-Пост!$E$23-Пост!$E$26)*ндс</f>
        <v>6066.24450715257</v>
      </c>
      <c r="AH23" s="116">
        <f>('1-Ф3'!AH12/Исх!$C$19+AH10-Пост!$E$5-Пост!$E$23-Пост!$E$26)*ндс</f>
        <v>6066.24450715257</v>
      </c>
      <c r="AI23" s="116">
        <f>('1-Ф3'!AI12/Исх!$C$19+AI10-Пост!$E$5-Пост!$E$23-Пост!$E$26)*ндс</f>
        <v>6066.24450715257</v>
      </c>
      <c r="AJ23" s="116">
        <f>('1-Ф3'!AJ12/Исх!$C$19+AJ10-Пост!$E$5-Пост!$E$23-Пост!$E$26)*ндс</f>
        <v>6066.24450715257</v>
      </c>
      <c r="AK23" s="116">
        <f>('1-Ф3'!AK12/Исх!$C$19+AK10-Пост!$E$5-Пост!$E$23-Пост!$E$26)*ндс</f>
        <v>6066.24450715257</v>
      </c>
      <c r="AL23" s="116">
        <f>('1-Ф3'!AL12/Исх!$C$19+AL10-Пост!$E$5-Пост!$E$23-Пост!$E$26)*ндс</f>
        <v>6066.24450715257</v>
      </c>
      <c r="AM23" s="116">
        <f>('1-Ф3'!AM12/Исх!$C$19+AM10-Пост!$E$5-Пост!$E$23-Пост!$E$26)*ндс</f>
        <v>6066.24450715257</v>
      </c>
      <c r="AN23" s="116">
        <f>('1-Ф3'!AN12/Исх!$C$19+AN10-Пост!$E$5-Пост!$E$23-Пост!$E$26)*ндс</f>
        <v>6066.24450715257</v>
      </c>
      <c r="AO23" s="116">
        <f>('1-Ф3'!AO12/Исх!$C$19+AO10-Пост!$E$5-Пост!$E$23-Пост!$E$26)*ндс</f>
        <v>6522.322060971998</v>
      </c>
      <c r="AP23" s="117">
        <f>SUM(AD23:AO23)</f>
        <v>72338.85653201141</v>
      </c>
      <c r="AQ23" s="116">
        <f>(AQ7+AQ10-(Пост!F5+Пост!F23+Пост!F26)*12)*ндс</f>
        <v>78370.54710566397</v>
      </c>
      <c r="AR23" s="116">
        <f>(AR7+AR10-(Пост!G5+Пост!G23+Пост!G26)*12)*ндс</f>
        <v>83944.90148749713</v>
      </c>
      <c r="AS23" s="116">
        <f>(AS7+AS10-(Пост!H5+Пост!H23+Пост!H26)*12)*ндс</f>
        <v>89522.00241733027</v>
      </c>
      <c r="AT23" s="116">
        <f>(AT7+AT10-(Пост!I5+Пост!I23+Пост!I26)*12)*ндс</f>
        <v>95101.9872225634</v>
      </c>
      <c r="AU23" s="116">
        <f>(AU7+AU10-(Пост!J5+Пост!J23+Пост!J26)*12)*ндс</f>
        <v>100685.00009696654</v>
      </c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</row>
    <row r="24" spans="1:60" s="110" customFormat="1" ht="12.75">
      <c r="A24" s="114" t="s">
        <v>164</v>
      </c>
      <c r="B24" s="96">
        <f>P24+AC24+AP24+AQ24+AR24+AS24+AT24+AU24</f>
        <v>26770.853999999996</v>
      </c>
      <c r="C24" s="116"/>
      <c r="D24" s="116">
        <f>Инв!E15/Исх!$C$19*ндс</f>
        <v>0</v>
      </c>
      <c r="E24" s="116">
        <f>Инв!F15/Исх!$C$19*ндс</f>
        <v>0</v>
      </c>
      <c r="F24" s="116">
        <f>Инв!G15/Исх!$C$19*ндс</f>
        <v>0</v>
      </c>
      <c r="G24" s="116">
        <f>Инв!H15/Исх!$C$19*ндс</f>
        <v>0</v>
      </c>
      <c r="H24" s="116">
        <f>Инв!I15/Исх!$C$19*ндс</f>
        <v>0</v>
      </c>
      <c r="I24" s="116">
        <f>Инв!J15/Исх!$C$19*ндс</f>
        <v>0</v>
      </c>
      <c r="J24" s="116">
        <f>Инв!K15/Исх!$C$19*ндс</f>
        <v>0</v>
      </c>
      <c r="K24" s="116">
        <f>Инв!L15/Исх!$C$19*ндс</f>
        <v>7540.868699999999</v>
      </c>
      <c r="L24" s="116">
        <f>Инв!M15/Исх!$C$19*ндс</f>
        <v>2210.866071428571</v>
      </c>
      <c r="M24" s="116">
        <f>Инв!N15/Исх!$C$19*ндс</f>
        <v>10558.489499999998</v>
      </c>
      <c r="N24" s="116">
        <f>Инв!O15/Исх!$C$19*ндс</f>
        <v>2210.866071428571</v>
      </c>
      <c r="O24" s="116">
        <f>Инв!P15/Исх!$C$19*ндс</f>
        <v>4249.763657142857</v>
      </c>
      <c r="P24" s="117">
        <f>SUM(D24:O24)</f>
        <v>26770.853999999996</v>
      </c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>
        <f>SUM(Q24:AB24)</f>
        <v>0</v>
      </c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7">
        <f>SUM(AD24:AO24)</f>
        <v>0</v>
      </c>
      <c r="AQ24" s="117"/>
      <c r="AR24" s="117"/>
      <c r="AS24" s="117"/>
      <c r="AT24" s="117"/>
      <c r="AU24" s="117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</row>
    <row r="25" spans="1:60" s="110" customFormat="1" ht="12.75">
      <c r="A25" s="114" t="s">
        <v>30</v>
      </c>
      <c r="B25" s="96">
        <f>P25+AC25+AP25+AQ25+AR25+AS25+AT25+AU25</f>
        <v>177821.14950291347</v>
      </c>
      <c r="C25" s="116"/>
      <c r="D25" s="116">
        <f>D22-D23-D24</f>
        <v>0</v>
      </c>
      <c r="E25" s="116">
        <f aca="true" t="shared" si="24" ref="E25:O25">E22-E23-E24</f>
        <v>0</v>
      </c>
      <c r="F25" s="116">
        <f t="shared" si="24"/>
        <v>0</v>
      </c>
      <c r="G25" s="116">
        <f t="shared" si="24"/>
        <v>0</v>
      </c>
      <c r="H25" s="116">
        <f t="shared" si="24"/>
        <v>0</v>
      </c>
      <c r="I25" s="116">
        <f t="shared" si="24"/>
        <v>0</v>
      </c>
      <c r="J25" s="116">
        <f t="shared" si="24"/>
        <v>0</v>
      </c>
      <c r="K25" s="116">
        <f t="shared" si="24"/>
        <v>-7540.868699999999</v>
      </c>
      <c r="L25" s="116">
        <f t="shared" si="24"/>
        <v>-2210.866071428571</v>
      </c>
      <c r="M25" s="116">
        <f t="shared" si="24"/>
        <v>-10558.489499999998</v>
      </c>
      <c r="N25" s="116">
        <f t="shared" si="24"/>
        <v>-2210.866071428571</v>
      </c>
      <c r="O25" s="116">
        <f t="shared" si="24"/>
        <v>-9722.694302975997</v>
      </c>
      <c r="P25" s="117">
        <f>SUM(D25:O25)</f>
        <v>-32243.784645833137</v>
      </c>
      <c r="Q25" s="116">
        <f aca="true" t="shared" si="25" ref="Q25:AB25">Q22-Q23-Q24</f>
        <v>-2853.0834389165707</v>
      </c>
      <c r="R25" s="116">
        <f t="shared" si="25"/>
        <v>-2853.0834389165707</v>
      </c>
      <c r="S25" s="116">
        <f t="shared" si="25"/>
        <v>-74.34499273599977</v>
      </c>
      <c r="T25" s="116">
        <f t="shared" si="25"/>
        <v>547.8494534445713</v>
      </c>
      <c r="U25" s="116">
        <f t="shared" si="25"/>
        <v>1709.1798996251446</v>
      </c>
      <c r="V25" s="116">
        <f t="shared" si="25"/>
        <v>4270.075899625145</v>
      </c>
      <c r="W25" s="116">
        <f t="shared" si="25"/>
        <v>5483.131899625144</v>
      </c>
      <c r="X25" s="116">
        <f t="shared" si="25"/>
        <v>4270.075899625145</v>
      </c>
      <c r="Y25" s="116">
        <f t="shared" si="25"/>
        <v>2061.806345805716</v>
      </c>
      <c r="Z25" s="116">
        <f t="shared" si="25"/>
        <v>713.9663458057148</v>
      </c>
      <c r="AA25" s="116">
        <f t="shared" si="25"/>
        <v>-1981.7136541942846</v>
      </c>
      <c r="AB25" s="116">
        <f t="shared" si="25"/>
        <v>-3785.6312080137127</v>
      </c>
      <c r="AC25" s="117">
        <f>SUM(Q25:AB25)</f>
        <v>7508.2290107794415</v>
      </c>
      <c r="AD25" s="116">
        <f aca="true" t="shared" si="26" ref="AD25:AO25">AD22-AD23-AD24</f>
        <v>-3601.3669533331404</v>
      </c>
      <c r="AE25" s="116">
        <f t="shared" si="26"/>
        <v>-588.1669533331406</v>
      </c>
      <c r="AF25" s="116">
        <f t="shared" si="26"/>
        <v>-39.84450715257026</v>
      </c>
      <c r="AG25" s="116">
        <f t="shared" si="26"/>
        <v>1968.95549284743</v>
      </c>
      <c r="AH25" s="116">
        <f t="shared" si="26"/>
        <v>4982.15549284743</v>
      </c>
      <c r="AI25" s="116">
        <f t="shared" si="26"/>
        <v>7995.3554928474305</v>
      </c>
      <c r="AJ25" s="116">
        <f t="shared" si="26"/>
        <v>10004.155492847429</v>
      </c>
      <c r="AK25" s="116">
        <f t="shared" si="26"/>
        <v>7995.3554928474305</v>
      </c>
      <c r="AL25" s="116">
        <f t="shared" si="26"/>
        <v>3977.75549284743</v>
      </c>
      <c r="AM25" s="116">
        <f t="shared" si="26"/>
        <v>1968.95549284743</v>
      </c>
      <c r="AN25" s="116">
        <f t="shared" si="26"/>
        <v>-2048.64450715257</v>
      </c>
      <c r="AO25" s="116">
        <f t="shared" si="26"/>
        <v>-4513.522060971998</v>
      </c>
      <c r="AP25" s="117">
        <f>SUM(AD25:AO25)</f>
        <v>28101.14346798859</v>
      </c>
      <c r="AQ25" s="116">
        <f>AQ22-AQ23-AQ24</f>
        <v>30493.452894336006</v>
      </c>
      <c r="AR25" s="116">
        <f>AR22-AR23-AR24</f>
        <v>32695.098512502853</v>
      </c>
      <c r="AS25" s="116">
        <f>AS22-AS23-AS24</f>
        <v>34893.99758266972</v>
      </c>
      <c r="AT25" s="116">
        <f>AT22-AT23-AT24</f>
        <v>37090.01277743657</v>
      </c>
      <c r="AU25" s="116">
        <f>AU22-AU23-AU24</f>
        <v>39282.99990303343</v>
      </c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</row>
    <row r="26" spans="1:60" s="110" customFormat="1" ht="12.75">
      <c r="A26" s="114" t="s">
        <v>165</v>
      </c>
      <c r="B26" s="102">
        <f>AU26</f>
        <v>177821.14950291347</v>
      </c>
      <c r="C26" s="116"/>
      <c r="D26" s="116">
        <f>D25</f>
        <v>0</v>
      </c>
      <c r="E26" s="116">
        <f>D26+E25</f>
        <v>0</v>
      </c>
      <c r="F26" s="116">
        <f aca="true" t="shared" si="27" ref="F26:O26">E26+F25</f>
        <v>0</v>
      </c>
      <c r="G26" s="116">
        <f t="shared" si="27"/>
        <v>0</v>
      </c>
      <c r="H26" s="116">
        <f t="shared" si="27"/>
        <v>0</v>
      </c>
      <c r="I26" s="116">
        <f t="shared" si="27"/>
        <v>0</v>
      </c>
      <c r="J26" s="116">
        <f t="shared" si="27"/>
        <v>0</v>
      </c>
      <c r="K26" s="116">
        <f t="shared" si="27"/>
        <v>-7540.868699999999</v>
      </c>
      <c r="L26" s="116">
        <f t="shared" si="27"/>
        <v>-9751.73477142857</v>
      </c>
      <c r="M26" s="116">
        <f t="shared" si="27"/>
        <v>-20310.224271428568</v>
      </c>
      <c r="N26" s="116">
        <f t="shared" si="27"/>
        <v>-22521.09034285714</v>
      </c>
      <c r="O26" s="116">
        <f t="shared" si="27"/>
        <v>-32243.784645833137</v>
      </c>
      <c r="P26" s="117">
        <f>O26</f>
        <v>-32243.784645833137</v>
      </c>
      <c r="Q26" s="116">
        <f aca="true" t="shared" si="28" ref="Q26:AB26">P26+Q25</f>
        <v>-35096.86808474971</v>
      </c>
      <c r="R26" s="116">
        <f t="shared" si="28"/>
        <v>-37949.95152366628</v>
      </c>
      <c r="S26" s="116">
        <f t="shared" si="28"/>
        <v>-38024.296516402275</v>
      </c>
      <c r="T26" s="116">
        <f t="shared" si="28"/>
        <v>-37476.447062957704</v>
      </c>
      <c r="U26" s="116">
        <f t="shared" si="28"/>
        <v>-35767.26716333256</v>
      </c>
      <c r="V26" s="116">
        <f t="shared" si="28"/>
        <v>-31497.191263707413</v>
      </c>
      <c r="W26" s="116">
        <f t="shared" si="28"/>
        <v>-26014.05936408227</v>
      </c>
      <c r="X26" s="116">
        <f t="shared" si="28"/>
        <v>-21743.983464457124</v>
      </c>
      <c r="Y26" s="116">
        <f t="shared" si="28"/>
        <v>-19682.17711865141</v>
      </c>
      <c r="Z26" s="116">
        <f t="shared" si="28"/>
        <v>-18968.210772845694</v>
      </c>
      <c r="AA26" s="116">
        <f t="shared" si="28"/>
        <v>-20949.92442703998</v>
      </c>
      <c r="AB26" s="116">
        <f t="shared" si="28"/>
        <v>-24735.555635053694</v>
      </c>
      <c r="AC26" s="117">
        <f>AB26</f>
        <v>-24735.555635053694</v>
      </c>
      <c r="AD26" s="116">
        <f aca="true" t="shared" si="29" ref="AD26:AO26">AC26+AD25</f>
        <v>-28336.922588386835</v>
      </c>
      <c r="AE26" s="116">
        <f t="shared" si="29"/>
        <v>-28925.089541719975</v>
      </c>
      <c r="AF26" s="116">
        <f t="shared" si="29"/>
        <v>-28964.934048872547</v>
      </c>
      <c r="AG26" s="116">
        <f t="shared" si="29"/>
        <v>-26995.97855602512</v>
      </c>
      <c r="AH26" s="116">
        <f t="shared" si="29"/>
        <v>-22013.82306317769</v>
      </c>
      <c r="AI26" s="116">
        <f t="shared" si="29"/>
        <v>-14018.46757033026</v>
      </c>
      <c r="AJ26" s="116">
        <f t="shared" si="29"/>
        <v>-4014.3120774828312</v>
      </c>
      <c r="AK26" s="116">
        <f t="shared" si="29"/>
        <v>3981.0434153645992</v>
      </c>
      <c r="AL26" s="116">
        <f t="shared" si="29"/>
        <v>7958.798908212029</v>
      </c>
      <c r="AM26" s="116">
        <f t="shared" si="29"/>
        <v>9927.75440105946</v>
      </c>
      <c r="AN26" s="116">
        <f t="shared" si="29"/>
        <v>7879.109893906889</v>
      </c>
      <c r="AO26" s="116">
        <f t="shared" si="29"/>
        <v>3365.5878329348907</v>
      </c>
      <c r="AP26" s="117">
        <f>AO26</f>
        <v>3365.5878329348907</v>
      </c>
      <c r="AQ26" s="116">
        <f>AP26+AQ25</f>
        <v>33859.0407272709</v>
      </c>
      <c r="AR26" s="116">
        <f>AQ26+AR25</f>
        <v>66554.13923977375</v>
      </c>
      <c r="AS26" s="116">
        <f>AR26+AS25</f>
        <v>101448.13682244347</v>
      </c>
      <c r="AT26" s="116">
        <f>AS26+AT25</f>
        <v>138538.14959988004</v>
      </c>
      <c r="AU26" s="116">
        <f>AT26+AU25</f>
        <v>177821.14950291347</v>
      </c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</row>
    <row r="27" spans="1:60" s="110" customFormat="1" ht="12.75">
      <c r="A27" s="114" t="s">
        <v>166</v>
      </c>
      <c r="B27" s="96">
        <f>P27+AC27+AP27+AQ27+AR27+AS27+AT27+AU27</f>
        <v>177821.14950291347</v>
      </c>
      <c r="C27" s="116"/>
      <c r="D27" s="116">
        <f>IF(C26+D25&gt;=0,IF(C26&lt;0,C26+D25,D25),0)</f>
        <v>0</v>
      </c>
      <c r="E27" s="116">
        <f aca="true" t="shared" si="30" ref="E27:AU27">IF(D26+E25&gt;=0,IF(D26&lt;0,D26+E25,E25),0)</f>
        <v>0</v>
      </c>
      <c r="F27" s="116">
        <f t="shared" si="30"/>
        <v>0</v>
      </c>
      <c r="G27" s="116">
        <f t="shared" si="30"/>
        <v>0</v>
      </c>
      <c r="H27" s="116">
        <f t="shared" si="30"/>
        <v>0</v>
      </c>
      <c r="I27" s="116">
        <f t="shared" si="30"/>
        <v>0</v>
      </c>
      <c r="J27" s="116">
        <f t="shared" si="30"/>
        <v>0</v>
      </c>
      <c r="K27" s="116">
        <f t="shared" si="30"/>
        <v>0</v>
      </c>
      <c r="L27" s="116">
        <f t="shared" si="30"/>
        <v>0</v>
      </c>
      <c r="M27" s="116">
        <f t="shared" si="30"/>
        <v>0</v>
      </c>
      <c r="N27" s="116">
        <f t="shared" si="30"/>
        <v>0</v>
      </c>
      <c r="O27" s="116">
        <f t="shared" si="30"/>
        <v>0</v>
      </c>
      <c r="P27" s="117">
        <f>SUM(D27:O27)</f>
        <v>0</v>
      </c>
      <c r="Q27" s="116">
        <f t="shared" si="30"/>
        <v>0</v>
      </c>
      <c r="R27" s="116">
        <f t="shared" si="30"/>
        <v>0</v>
      </c>
      <c r="S27" s="116">
        <f t="shared" si="30"/>
        <v>0</v>
      </c>
      <c r="T27" s="116">
        <f t="shared" si="30"/>
        <v>0</v>
      </c>
      <c r="U27" s="116">
        <f t="shared" si="30"/>
        <v>0</v>
      </c>
      <c r="V27" s="116">
        <f t="shared" si="30"/>
        <v>0</v>
      </c>
      <c r="W27" s="116">
        <f t="shared" si="30"/>
        <v>0</v>
      </c>
      <c r="X27" s="116">
        <f t="shared" si="30"/>
        <v>0</v>
      </c>
      <c r="Y27" s="116">
        <f t="shared" si="30"/>
        <v>0</v>
      </c>
      <c r="Z27" s="116">
        <f t="shared" si="30"/>
        <v>0</v>
      </c>
      <c r="AA27" s="116">
        <f t="shared" si="30"/>
        <v>0</v>
      </c>
      <c r="AB27" s="116">
        <f t="shared" si="30"/>
        <v>0</v>
      </c>
      <c r="AC27" s="117">
        <f>SUM(Q27:AB27)</f>
        <v>0</v>
      </c>
      <c r="AD27" s="116">
        <f aca="true" t="shared" si="31" ref="AD27:AO27">IF(AC26+AD25&gt;=0,IF(AC26&lt;0,AC26+AD25,AD25),0)</f>
        <v>0</v>
      </c>
      <c r="AE27" s="116">
        <f t="shared" si="31"/>
        <v>0</v>
      </c>
      <c r="AF27" s="116">
        <f t="shared" si="31"/>
        <v>0</v>
      </c>
      <c r="AG27" s="116">
        <f t="shared" si="31"/>
        <v>0</v>
      </c>
      <c r="AH27" s="116">
        <f t="shared" si="31"/>
        <v>0</v>
      </c>
      <c r="AI27" s="116">
        <f t="shared" si="31"/>
        <v>0</v>
      </c>
      <c r="AJ27" s="116">
        <f t="shared" si="31"/>
        <v>0</v>
      </c>
      <c r="AK27" s="116">
        <f t="shared" si="31"/>
        <v>3981.0434153645992</v>
      </c>
      <c r="AL27" s="116">
        <f t="shared" si="31"/>
        <v>3977.75549284743</v>
      </c>
      <c r="AM27" s="116">
        <f t="shared" si="31"/>
        <v>1968.95549284743</v>
      </c>
      <c r="AN27" s="116">
        <f t="shared" si="31"/>
        <v>-2048.64450715257</v>
      </c>
      <c r="AO27" s="116">
        <f t="shared" si="31"/>
        <v>-4513.522060971998</v>
      </c>
      <c r="AP27" s="117">
        <f>SUM(AD27:AO27)</f>
        <v>3365.5878329348907</v>
      </c>
      <c r="AQ27" s="116">
        <f t="shared" si="30"/>
        <v>30493.452894336006</v>
      </c>
      <c r="AR27" s="116">
        <f t="shared" si="30"/>
        <v>32695.098512502853</v>
      </c>
      <c r="AS27" s="116">
        <f t="shared" si="30"/>
        <v>34893.99758266972</v>
      </c>
      <c r="AT27" s="116">
        <f t="shared" si="30"/>
        <v>37090.01277743657</v>
      </c>
      <c r="AU27" s="116">
        <f t="shared" si="30"/>
        <v>39282.99990303343</v>
      </c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</row>
    <row r="29" ht="12.75">
      <c r="B29" s="275">
        <f>B22-B23-B24</f>
        <v>177821.14950291353</v>
      </c>
    </row>
  </sheetData>
  <sheetProtection/>
  <mergeCells count="10">
    <mergeCell ref="AD3:AP3"/>
    <mergeCell ref="AD19:AP19"/>
    <mergeCell ref="Q19:AC19"/>
    <mergeCell ref="Q3:AC3"/>
    <mergeCell ref="A3:A4"/>
    <mergeCell ref="A19:A20"/>
    <mergeCell ref="B3:B4"/>
    <mergeCell ref="D19:P19"/>
    <mergeCell ref="B19:B20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N41"/>
  <sheetViews>
    <sheetView showGridLines="0" showZeros="0" zoomScalePageLayoutView="0" workbookViewId="0" topLeftCell="A1">
      <pane xSplit="3" ySplit="4" topLeftCell="D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X17" sqref="AX17"/>
    </sheetView>
  </sheetViews>
  <sheetFormatPr defaultColWidth="10.125" defaultRowHeight="12.75" outlineLevelCol="1"/>
  <cols>
    <col min="1" max="1" width="38.125" style="119" customWidth="1"/>
    <col min="2" max="2" width="2.375" style="119" customWidth="1"/>
    <col min="3" max="3" width="7.125" style="119" customWidth="1"/>
    <col min="4" max="4" width="11.375" style="119" hidden="1" customWidth="1" outlineLevel="1"/>
    <col min="5" max="11" width="7.375" style="119" hidden="1" customWidth="1" outlineLevel="1"/>
    <col min="12" max="12" width="8.00390625" style="119" hidden="1" customWidth="1" outlineLevel="1"/>
    <col min="13" max="13" width="7.875" style="119" hidden="1" customWidth="1" outlineLevel="1"/>
    <col min="14" max="15" width="8.125" style="119" hidden="1" customWidth="1" outlineLevel="1"/>
    <col min="16" max="16" width="9.875" style="119" customWidth="1" collapsed="1"/>
    <col min="17" max="20" width="8.375" style="119" hidden="1" customWidth="1" outlineLevel="1"/>
    <col min="21" max="26" width="9.125" style="119" hidden="1" customWidth="1" outlineLevel="1"/>
    <col min="27" max="27" width="9.00390625" style="119" hidden="1" customWidth="1" outlineLevel="1"/>
    <col min="28" max="28" width="9.125" style="119" hidden="1" customWidth="1" outlineLevel="1"/>
    <col min="29" max="29" width="10.125" style="119" customWidth="1" collapsed="1"/>
    <col min="30" max="39" width="10.25390625" style="119" hidden="1" customWidth="1" outlineLevel="1"/>
    <col min="40" max="40" width="9.00390625" style="119" hidden="1" customWidth="1" outlineLevel="1"/>
    <col min="41" max="41" width="9.125" style="119" hidden="1" customWidth="1" outlineLevel="1"/>
    <col min="42" max="42" width="9.875" style="119" customWidth="1" collapsed="1"/>
    <col min="43" max="43" width="9.75390625" style="119" customWidth="1"/>
    <col min="44" max="44" width="9.625" style="119" customWidth="1"/>
    <col min="45" max="47" width="9.75390625" style="119" customWidth="1"/>
    <col min="48" max="16384" width="10.125" style="119" customWidth="1"/>
  </cols>
  <sheetData>
    <row r="1" spans="1:3" ht="12.75">
      <c r="A1" s="62" t="s">
        <v>113</v>
      </c>
      <c r="B1" s="118"/>
      <c r="C1" s="118"/>
    </row>
    <row r="2" spans="1:47" ht="17.25" customHeight="1">
      <c r="A2" s="62"/>
      <c r="C2" s="12" t="str">
        <f>Исх!$C$10</f>
        <v>тыс.тг.</v>
      </c>
      <c r="L2" s="120"/>
      <c r="P2" s="120"/>
      <c r="AC2" s="120"/>
      <c r="AP2" s="120"/>
      <c r="AQ2" s="120"/>
      <c r="AR2" s="120"/>
      <c r="AS2" s="120"/>
      <c r="AT2" s="120"/>
      <c r="AU2" s="120"/>
    </row>
    <row r="3" spans="1:47" ht="12.75" customHeight="1">
      <c r="A3" s="334" t="s">
        <v>3</v>
      </c>
      <c r="B3" s="336"/>
      <c r="C3" s="122"/>
      <c r="D3" s="337">
        <v>2013</v>
      </c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>
        <v>2014</v>
      </c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8">
        <f>Q3+1</f>
        <v>2015</v>
      </c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40"/>
      <c r="AQ3" s="123">
        <f>AD3+1</f>
        <v>2016</v>
      </c>
      <c r="AR3" s="123">
        <f>AQ3+1</f>
        <v>2017</v>
      </c>
      <c r="AS3" s="123">
        <f>AR3+1</f>
        <v>2018</v>
      </c>
      <c r="AT3" s="123">
        <f>AS3+1</f>
        <v>2019</v>
      </c>
      <c r="AU3" s="123">
        <f>AT3+1</f>
        <v>2020</v>
      </c>
    </row>
    <row r="4" spans="1:47" ht="12.75">
      <c r="A4" s="335"/>
      <c r="B4" s="336"/>
      <c r="C4" s="124"/>
      <c r="D4" s="125">
        <v>1</v>
      </c>
      <c r="E4" s="125">
        <f>D4+1</f>
        <v>2</v>
      </c>
      <c r="F4" s="125">
        <f aca="true" t="shared" si="0" ref="F4:O4">E4+1</f>
        <v>3</v>
      </c>
      <c r="G4" s="125">
        <f t="shared" si="0"/>
        <v>4</v>
      </c>
      <c r="H4" s="125">
        <f t="shared" si="0"/>
        <v>5</v>
      </c>
      <c r="I4" s="125">
        <f t="shared" si="0"/>
        <v>6</v>
      </c>
      <c r="J4" s="125">
        <f t="shared" si="0"/>
        <v>7</v>
      </c>
      <c r="K4" s="125">
        <f t="shared" si="0"/>
        <v>8</v>
      </c>
      <c r="L4" s="125">
        <f t="shared" si="0"/>
        <v>9</v>
      </c>
      <c r="M4" s="125">
        <f t="shared" si="0"/>
        <v>10</v>
      </c>
      <c r="N4" s="125">
        <f t="shared" si="0"/>
        <v>11</v>
      </c>
      <c r="O4" s="125">
        <f t="shared" si="0"/>
        <v>12</v>
      </c>
      <c r="P4" s="121" t="s">
        <v>0</v>
      </c>
      <c r="Q4" s="125">
        <v>1</v>
      </c>
      <c r="R4" s="125">
        <f aca="true" t="shared" si="1" ref="R4:AB4">Q4+1</f>
        <v>2</v>
      </c>
      <c r="S4" s="125">
        <f t="shared" si="1"/>
        <v>3</v>
      </c>
      <c r="T4" s="125">
        <f t="shared" si="1"/>
        <v>4</v>
      </c>
      <c r="U4" s="125">
        <f t="shared" si="1"/>
        <v>5</v>
      </c>
      <c r="V4" s="125">
        <f t="shared" si="1"/>
        <v>6</v>
      </c>
      <c r="W4" s="125">
        <f t="shared" si="1"/>
        <v>7</v>
      </c>
      <c r="X4" s="125">
        <f t="shared" si="1"/>
        <v>8</v>
      </c>
      <c r="Y4" s="125">
        <f t="shared" si="1"/>
        <v>9</v>
      </c>
      <c r="Z4" s="125">
        <f t="shared" si="1"/>
        <v>10</v>
      </c>
      <c r="AA4" s="125">
        <f t="shared" si="1"/>
        <v>11</v>
      </c>
      <c r="AB4" s="125">
        <f t="shared" si="1"/>
        <v>12</v>
      </c>
      <c r="AC4" s="121" t="s">
        <v>0</v>
      </c>
      <c r="AD4" s="125">
        <v>1</v>
      </c>
      <c r="AE4" s="125">
        <f aca="true" t="shared" si="2" ref="AE4:AO4">AD4+1</f>
        <v>2</v>
      </c>
      <c r="AF4" s="125">
        <f t="shared" si="2"/>
        <v>3</v>
      </c>
      <c r="AG4" s="125">
        <f t="shared" si="2"/>
        <v>4</v>
      </c>
      <c r="AH4" s="125">
        <f t="shared" si="2"/>
        <v>5</v>
      </c>
      <c r="AI4" s="125">
        <f t="shared" si="2"/>
        <v>6</v>
      </c>
      <c r="AJ4" s="125">
        <f t="shared" si="2"/>
        <v>7</v>
      </c>
      <c r="AK4" s="125">
        <f t="shared" si="2"/>
        <v>8</v>
      </c>
      <c r="AL4" s="125">
        <f t="shared" si="2"/>
        <v>9</v>
      </c>
      <c r="AM4" s="125">
        <f t="shared" si="2"/>
        <v>10</v>
      </c>
      <c r="AN4" s="125">
        <f t="shared" si="2"/>
        <v>11</v>
      </c>
      <c r="AO4" s="125">
        <f t="shared" si="2"/>
        <v>12</v>
      </c>
      <c r="AP4" s="121" t="s">
        <v>0</v>
      </c>
      <c r="AQ4" s="121" t="s">
        <v>111</v>
      </c>
      <c r="AR4" s="121" t="s">
        <v>111</v>
      </c>
      <c r="AS4" s="121" t="s">
        <v>111</v>
      </c>
      <c r="AT4" s="121" t="s">
        <v>111</v>
      </c>
      <c r="AU4" s="121" t="s">
        <v>111</v>
      </c>
    </row>
    <row r="5" spans="1:54" s="130" customFormat="1" ht="15" customHeight="1">
      <c r="A5" s="126" t="s">
        <v>114</v>
      </c>
      <c r="B5" s="127"/>
      <c r="C5" s="128">
        <f>C11+C6</f>
        <v>0</v>
      </c>
      <c r="D5" s="128">
        <f>D11+D6</f>
        <v>0</v>
      </c>
      <c r="E5" s="128">
        <f aca="true" t="shared" si="3" ref="E5:AT5">E11+E6</f>
        <v>0</v>
      </c>
      <c r="F5" s="128">
        <f t="shared" si="3"/>
        <v>0</v>
      </c>
      <c r="G5" s="128">
        <f t="shared" si="3"/>
        <v>0</v>
      </c>
      <c r="H5" s="128">
        <f t="shared" si="3"/>
        <v>0</v>
      </c>
      <c r="I5" s="128">
        <f t="shared" si="3"/>
        <v>0</v>
      </c>
      <c r="J5" s="128">
        <f t="shared" si="3"/>
        <v>0</v>
      </c>
      <c r="K5" s="128">
        <f t="shared" si="3"/>
        <v>70381.4412</v>
      </c>
      <c r="L5" s="128">
        <f t="shared" si="3"/>
        <v>91016.1912</v>
      </c>
      <c r="M5" s="128">
        <f t="shared" si="3"/>
        <v>189562.0932</v>
      </c>
      <c r="N5" s="128">
        <f t="shared" si="3"/>
        <v>249861.304</v>
      </c>
      <c r="O5" s="128">
        <f t="shared" si="3"/>
        <v>300941.990027776</v>
      </c>
      <c r="P5" s="128">
        <f t="shared" si="3"/>
        <v>300941.990027776</v>
      </c>
      <c r="Q5" s="128">
        <f t="shared" si="3"/>
        <v>324952.01437194966</v>
      </c>
      <c r="R5" s="128">
        <f t="shared" si="3"/>
        <v>348962.0387161233</v>
      </c>
      <c r="S5" s="128">
        <f t="shared" si="3"/>
        <v>363021.14465705684</v>
      </c>
      <c r="T5" s="128">
        <f t="shared" si="3"/>
        <v>367294.63284169394</v>
      </c>
      <c r="U5" s="128">
        <f t="shared" si="3"/>
        <v>375560.10790688696</v>
      </c>
      <c r="V5" s="128">
        <f t="shared" si="3"/>
        <v>388179.5219417303</v>
      </c>
      <c r="W5" s="128">
        <f t="shared" si="3"/>
        <v>400959.13590254274</v>
      </c>
      <c r="X5" s="128">
        <f t="shared" si="3"/>
        <v>409636.9987657416</v>
      </c>
      <c r="Y5" s="128">
        <f t="shared" si="3"/>
        <v>413809.15149695193</v>
      </c>
      <c r="Z5" s="128">
        <f t="shared" si="3"/>
        <v>415316.68002175255</v>
      </c>
      <c r="AA5" s="128">
        <f t="shared" si="3"/>
        <v>411498.24050532654</v>
      </c>
      <c r="AB5" s="128">
        <f t="shared" si="3"/>
        <v>405015.13817465276</v>
      </c>
      <c r="AC5" s="128">
        <f t="shared" si="3"/>
        <v>405015.13817465276</v>
      </c>
      <c r="AD5" s="128">
        <f aca="true" t="shared" si="4" ref="AD5:AP5">AD11+AD6</f>
        <v>399554.95696034725</v>
      </c>
      <c r="AE5" s="128">
        <f t="shared" si="4"/>
        <v>400040.99429085234</v>
      </c>
      <c r="AF5" s="128">
        <f t="shared" si="4"/>
        <v>402506.8332442633</v>
      </c>
      <c r="AG5" s="128">
        <f t="shared" si="4"/>
        <v>408935.65261535166</v>
      </c>
      <c r="AH5" s="128">
        <f t="shared" si="4"/>
        <v>421310.63108329684</v>
      </c>
      <c r="AI5" s="128">
        <f t="shared" si="4"/>
        <v>439631.74860047945</v>
      </c>
      <c r="AJ5" s="128">
        <f t="shared" si="4"/>
        <v>461915.7863918032</v>
      </c>
      <c r="AK5" s="128">
        <f t="shared" si="4"/>
        <v>480229.9297329474</v>
      </c>
      <c r="AL5" s="128">
        <f t="shared" si="4"/>
        <v>490607.76100234385</v>
      </c>
      <c r="AM5" s="128">
        <f t="shared" si="4"/>
        <v>497015.6569015514</v>
      </c>
      <c r="AN5" s="128">
        <f t="shared" si="4"/>
        <v>495487.1995703018</v>
      </c>
      <c r="AO5" s="128">
        <f t="shared" si="4"/>
        <v>489988.76547006157</v>
      </c>
      <c r="AP5" s="128">
        <f t="shared" si="4"/>
        <v>489988.76547006157</v>
      </c>
      <c r="AQ5" s="128">
        <f t="shared" si="3"/>
        <v>588608.5225259145</v>
      </c>
      <c r="AR5" s="128">
        <f t="shared" si="3"/>
        <v>699473.5711225538</v>
      </c>
      <c r="AS5" s="128">
        <f t="shared" si="3"/>
        <v>822428.5317055513</v>
      </c>
      <c r="AT5" s="128">
        <f t="shared" si="3"/>
        <v>957309.359564471</v>
      </c>
      <c r="AU5" s="128">
        <f>AU11+AU6</f>
        <v>1114388.8476907376</v>
      </c>
      <c r="AV5" s="129"/>
      <c r="AW5" s="129"/>
      <c r="AX5" s="129"/>
      <c r="AY5" s="129"/>
      <c r="AZ5" s="129"/>
      <c r="BA5" s="129"/>
      <c r="BB5" s="129"/>
    </row>
    <row r="6" spans="1:47" s="130" customFormat="1" ht="15" customHeight="1">
      <c r="A6" s="126" t="s">
        <v>115</v>
      </c>
      <c r="B6" s="127"/>
      <c r="C6" s="128">
        <f>SUM(C7:C10)</f>
        <v>0</v>
      </c>
      <c r="D6" s="128">
        <f>SUM(D7:D10)</f>
        <v>0</v>
      </c>
      <c r="E6" s="128">
        <f aca="true" t="shared" si="5" ref="E6:AT6">SUM(E7:E10)</f>
        <v>0</v>
      </c>
      <c r="F6" s="128">
        <f t="shared" si="5"/>
        <v>0</v>
      </c>
      <c r="G6" s="128">
        <f t="shared" si="5"/>
        <v>0</v>
      </c>
      <c r="H6" s="128">
        <f t="shared" si="5"/>
        <v>0</v>
      </c>
      <c r="I6" s="128">
        <f t="shared" si="5"/>
        <v>0</v>
      </c>
      <c r="J6" s="128">
        <f t="shared" si="5"/>
        <v>0</v>
      </c>
      <c r="K6" s="128">
        <f t="shared" si="5"/>
        <v>41738.11714285714</v>
      </c>
      <c r="L6" s="128">
        <f t="shared" si="5"/>
        <v>41738.11714285714</v>
      </c>
      <c r="M6" s="128">
        <f t="shared" si="5"/>
        <v>111301.64571428571</v>
      </c>
      <c r="N6" s="128">
        <f t="shared" si="5"/>
        <v>150966.10651428573</v>
      </c>
      <c r="O6" s="128">
        <f t="shared" si="5"/>
        <v>45607.75538194284</v>
      </c>
      <c r="P6" s="128">
        <f t="shared" si="5"/>
        <v>45607.75538194284</v>
      </c>
      <c r="Q6" s="128">
        <f t="shared" si="5"/>
        <v>68411.63307291426</v>
      </c>
      <c r="R6" s="128">
        <f t="shared" si="5"/>
        <v>91215.51076388569</v>
      </c>
      <c r="S6" s="128">
        <f t="shared" si="5"/>
        <v>106847.20849779746</v>
      </c>
      <c r="T6" s="128">
        <f t="shared" si="5"/>
        <v>113315.48292159344</v>
      </c>
      <c r="U6" s="128">
        <f t="shared" si="5"/>
        <v>124937.07467212589</v>
      </c>
      <c r="V6" s="128">
        <f t="shared" si="5"/>
        <v>143473.50139230862</v>
      </c>
      <c r="W6" s="128">
        <f t="shared" si="5"/>
        <v>163383.18403846055</v>
      </c>
      <c r="X6" s="128">
        <f t="shared" si="5"/>
        <v>177978.05958699883</v>
      </c>
      <c r="Y6" s="128">
        <f t="shared" si="5"/>
        <v>185858.95544972917</v>
      </c>
      <c r="Z6" s="128">
        <f t="shared" si="5"/>
        <v>189727.3871060498</v>
      </c>
      <c r="AA6" s="128">
        <f t="shared" si="5"/>
        <v>185574.17072114378</v>
      </c>
      <c r="AB6" s="128">
        <f t="shared" si="5"/>
        <v>176952.3739681706</v>
      </c>
      <c r="AC6" s="128">
        <f t="shared" si="5"/>
        <v>176952.3739681706</v>
      </c>
      <c r="AD6" s="128">
        <f aca="true" t="shared" si="6" ref="AD6:AP6">SUM(AD7:AD10)</f>
        <v>169537.76258624622</v>
      </c>
      <c r="AE6" s="128">
        <f t="shared" si="6"/>
        <v>171082.56974913247</v>
      </c>
      <c r="AF6" s="128">
        <f t="shared" si="6"/>
        <v>175155.5009811052</v>
      </c>
      <c r="AG6" s="128">
        <f t="shared" si="6"/>
        <v>185200.21263075527</v>
      </c>
      <c r="AH6" s="128">
        <f t="shared" si="6"/>
        <v>204204.28337726212</v>
      </c>
      <c r="AI6" s="128">
        <f t="shared" si="6"/>
        <v>232167.69317300647</v>
      </c>
      <c r="AJ6" s="128">
        <f t="shared" si="6"/>
        <v>266102.82324289193</v>
      </c>
      <c r="AK6" s="128">
        <f t="shared" si="6"/>
        <v>290078.2154472333</v>
      </c>
      <c r="AL6" s="128">
        <f t="shared" si="6"/>
        <v>302102.983502344</v>
      </c>
      <c r="AM6" s="128">
        <f t="shared" si="6"/>
        <v>310157.81618726585</v>
      </c>
      <c r="AN6" s="128">
        <f t="shared" si="6"/>
        <v>310276.29564173054</v>
      </c>
      <c r="AO6" s="128">
        <f t="shared" si="6"/>
        <v>306424.79832720465</v>
      </c>
      <c r="AP6" s="128">
        <f t="shared" si="6"/>
        <v>306424.79832720465</v>
      </c>
      <c r="AQ6" s="128">
        <f t="shared" si="5"/>
        <v>424807.796811629</v>
      </c>
      <c r="AR6" s="128">
        <f t="shared" si="5"/>
        <v>555436.0868368397</v>
      </c>
      <c r="AS6" s="128">
        <f t="shared" si="5"/>
        <v>698154.2888484086</v>
      </c>
      <c r="AT6" s="128">
        <f t="shared" si="5"/>
        <v>852798.3581358998</v>
      </c>
      <c r="AU6" s="128">
        <f>SUM(AU7:AU10)</f>
        <v>1029641.0876907378</v>
      </c>
    </row>
    <row r="7" spans="1:47" ht="15" customHeight="1">
      <c r="A7" s="131" t="s">
        <v>116</v>
      </c>
      <c r="B7" s="127"/>
      <c r="C7" s="132"/>
      <c r="D7" s="132">
        <f>'1-Ф3'!D34</f>
        <v>0</v>
      </c>
      <c r="E7" s="132">
        <f>'1-Ф3'!E34</f>
        <v>0</v>
      </c>
      <c r="F7" s="132">
        <f>'1-Ф3'!F34</f>
        <v>0</v>
      </c>
      <c r="G7" s="132">
        <f>'1-Ф3'!G34</f>
        <v>0</v>
      </c>
      <c r="H7" s="132">
        <f>'1-Ф3'!H34</f>
        <v>0</v>
      </c>
      <c r="I7" s="132">
        <f>'1-Ф3'!I34</f>
        <v>0</v>
      </c>
      <c r="J7" s="132">
        <f>'1-Ф3'!J34</f>
        <v>0</v>
      </c>
      <c r="K7" s="132">
        <f>'1-Ф3'!K34</f>
        <v>0</v>
      </c>
      <c r="L7" s="132">
        <f>'1-Ф3'!L34</f>
        <v>0</v>
      </c>
      <c r="M7" s="132">
        <f>'1-Ф3'!M34</f>
        <v>0</v>
      </c>
      <c r="N7" s="132">
        <f>'1-Ф3'!N34</f>
        <v>39664.4608</v>
      </c>
      <c r="O7" s="132">
        <f>'1-Ф3'!O34</f>
        <v>0</v>
      </c>
      <c r="P7" s="132">
        <f>'1-Ф3'!P34</f>
        <v>0</v>
      </c>
      <c r="Q7" s="132">
        <f>'1-Ф3'!Q34</f>
        <v>0</v>
      </c>
      <c r="R7" s="132">
        <f>'1-Ф3'!R34</f>
        <v>0</v>
      </c>
      <c r="S7" s="132">
        <f>'1-Ф3'!S34</f>
        <v>8000</v>
      </c>
      <c r="T7" s="132">
        <f>'1-Ф3'!T34</f>
        <v>9360.205821018382</v>
      </c>
      <c r="U7" s="132">
        <f>'1-Ф3'!U34</f>
        <v>21559.495806388768</v>
      </c>
      <c r="V7" s="132">
        <f>'1-Ф3'!V34</f>
        <v>55693.77486719597</v>
      </c>
      <c r="W7" s="132">
        <f>'1-Ф3'!W34</f>
        <v>98316.11969355542</v>
      </c>
      <c r="X7" s="132">
        <f>'1-Ф3'!X34</f>
        <v>128508.8475827182</v>
      </c>
      <c r="Y7" s="132">
        <f>'1-Ф3'!Y34</f>
        <v>137910.00195817996</v>
      </c>
      <c r="Z7" s="132">
        <f>'1-Ф3'!Z34</f>
        <v>135393.3478610286</v>
      </c>
      <c r="AA7" s="132">
        <f>'1-Ф3'!AA34</f>
        <v>109044.35719024374</v>
      </c>
      <c r="AB7" s="132">
        <f>'1-Ф3'!AB34</f>
        <v>66520.79560335971</v>
      </c>
      <c r="AC7" s="132">
        <f>'1-Ф3'!AC34</f>
        <v>66520.79560335971</v>
      </c>
      <c r="AD7" s="132">
        <f>'1-Ф3'!AD34</f>
        <v>25280.432313161036</v>
      </c>
      <c r="AE7" s="132">
        <f>'1-Ф3'!AE34</f>
        <v>10672.492778275868</v>
      </c>
      <c r="AF7" s="132">
        <f>'1-Ф3'!AF34</f>
        <v>683.0327674828823</v>
      </c>
      <c r="AG7" s="132">
        <f>'1-Ф3'!AG34</f>
        <v>8447.356648035802</v>
      </c>
      <c r="AH7" s="132">
        <f>'1-Ф3'!AH34</f>
        <v>42844.04483594838</v>
      </c>
      <c r="AI7" s="132">
        <f>'1-Ф3'!AI34</f>
        <v>103873.07728360132</v>
      </c>
      <c r="AJ7" s="132">
        <f>'1-Ф3'!AJ34</f>
        <v>182655.83347906393</v>
      </c>
      <c r="AK7" s="132">
        <f>'1-Ф3'!AK34</f>
        <v>239696.84833531387</v>
      </c>
      <c r="AL7" s="132">
        <f>'1-Ф3'!AL34</f>
        <v>261223.232094996</v>
      </c>
      <c r="AM7" s="132">
        <f>'1-Ф3'!AM34</f>
        <v>266997.6770108207</v>
      </c>
      <c r="AN7" s="132">
        <f>'1-Ф3'!AN34</f>
        <v>241271.76174885113</v>
      </c>
      <c r="AO7" s="132">
        <f>'1-Ф3'!AO34</f>
        <v>195993.21996239384</v>
      </c>
      <c r="AP7" s="132">
        <f>'1-Ф3'!AP34</f>
        <v>195993.21996239384</v>
      </c>
      <c r="AQ7" s="132">
        <f>'1-Ф3'!AQ34</f>
        <v>314376.2184468181</v>
      </c>
      <c r="AR7" s="132">
        <f>'1-Ф3'!AR34</f>
        <v>445004.50847202877</v>
      </c>
      <c r="AS7" s="132">
        <f>'1-Ф3'!AS34</f>
        <v>587722.7104835977</v>
      </c>
      <c r="AT7" s="132">
        <f>'1-Ф3'!AT34</f>
        <v>742366.7797710889</v>
      </c>
      <c r="AU7" s="132">
        <f>'1-Ф3'!AU34</f>
        <v>919209.5093259269</v>
      </c>
    </row>
    <row r="8" spans="1:47" ht="12.75">
      <c r="A8" s="131" t="s">
        <v>117</v>
      </c>
      <c r="B8" s="127"/>
      <c r="C8" s="132"/>
      <c r="D8" s="132">
        <f>C8+'2-ф2'!D5-'1-Ф3'!D9/Исх!$C$19</f>
        <v>0</v>
      </c>
      <c r="E8" s="132">
        <f>D8+'2-ф2'!E5-'1-Ф3'!E9/Исх!$C$19</f>
        <v>0</v>
      </c>
      <c r="F8" s="132">
        <f>E8+'2-ф2'!F5-'1-Ф3'!F9/Исх!$C$19</f>
        <v>0</v>
      </c>
      <c r="G8" s="132">
        <f>F8+'2-ф2'!G5-'1-Ф3'!G9/Исх!$C$19</f>
        <v>0</v>
      </c>
      <c r="H8" s="132">
        <f>G8+'2-ф2'!H5-'1-Ф3'!H9/Исх!$C$19</f>
        <v>0</v>
      </c>
      <c r="I8" s="132">
        <f>H8+'2-ф2'!I5-'1-Ф3'!I9/Исх!$C$19</f>
        <v>0</v>
      </c>
      <c r="J8" s="132">
        <f>I8+'2-ф2'!J5-'1-Ф3'!J9/Исх!$C$19</f>
        <v>0</v>
      </c>
      <c r="K8" s="132">
        <f>Инв!L25/Исх!$C$19</f>
        <v>41738.11714285714</v>
      </c>
      <c r="L8" s="132">
        <f>Инв!M25/Исх!$C$19</f>
        <v>41738.11714285714</v>
      </c>
      <c r="M8" s="132">
        <f>Инв!N25/Исх!$C$19</f>
        <v>111301.64571428571</v>
      </c>
      <c r="N8" s="132">
        <f>Инв!O25/Исх!$C$19</f>
        <v>111301.64571428571</v>
      </c>
      <c r="O8" s="132">
        <f>Инв!P25/Исх!$C$19</f>
        <v>0</v>
      </c>
      <c r="P8" s="132">
        <f>O8</f>
        <v>0</v>
      </c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>
        <f>AB8</f>
        <v>0</v>
      </c>
      <c r="AD8" s="132">
        <f>AC8+'2-ф2'!AD5-'1-Ф3'!AD9/Исх!$C$19</f>
        <v>0</v>
      </c>
      <c r="AE8" s="132">
        <f>AD8+'2-ф2'!AE5-'1-Ф3'!AE9/Исх!$C$19</f>
        <v>0</v>
      </c>
      <c r="AF8" s="132">
        <f>AE8+'2-ф2'!AF5-'1-Ф3'!AF9/Исх!$C$19</f>
        <v>0</v>
      </c>
      <c r="AG8" s="132">
        <f>AF8+'2-ф2'!AG5-'1-Ф3'!AG9/Исх!$C$19</f>
        <v>0</v>
      </c>
      <c r="AH8" s="132">
        <f>AG8+'2-ф2'!AH5-'1-Ф3'!AH9/Исх!$C$19</f>
        <v>0</v>
      </c>
      <c r="AI8" s="132">
        <f>AH8+'2-ф2'!AI5-'1-Ф3'!AI9/Исх!$C$19</f>
        <v>0</v>
      </c>
      <c r="AJ8" s="132">
        <f>AI8+'2-ф2'!AJ5-'1-Ф3'!AJ9/Исх!$C$19</f>
        <v>0</v>
      </c>
      <c r="AK8" s="132">
        <f>AJ8+'2-ф2'!AK5-'1-Ф3'!AK9/Исх!$C$19</f>
        <v>0</v>
      </c>
      <c r="AL8" s="132">
        <f>AK8+'2-ф2'!AL5-'1-Ф3'!AL9/Исх!$C$19</f>
        <v>0</v>
      </c>
      <c r="AM8" s="132">
        <f>AL8+'2-ф2'!AM5-'1-Ф3'!AM9/Исх!$C$19</f>
        <v>0</v>
      </c>
      <c r="AN8" s="132">
        <f>AM8+'2-ф2'!AN5-'1-Ф3'!AN9/Исх!$C$19</f>
        <v>0</v>
      </c>
      <c r="AO8" s="132">
        <f>AN8+'2-ф2'!AO5-'1-Ф3'!AO9/Исх!$C$19</f>
        <v>0</v>
      </c>
      <c r="AP8" s="132">
        <f>AO8</f>
        <v>0</v>
      </c>
      <c r="AQ8" s="132">
        <f>AP8+'2-ф2'!AQ5-'1-Ф3'!AQ9/Исх!$C$19</f>
        <v>0</v>
      </c>
      <c r="AR8" s="132">
        <f>AQ8+'2-ф2'!AR5-'1-Ф3'!AR9/Исх!$C$19</f>
        <v>0</v>
      </c>
      <c r="AS8" s="132">
        <f>AR8+'2-ф2'!AS5-'1-Ф3'!AS9/Исх!$C$19</f>
        <v>0</v>
      </c>
      <c r="AT8" s="132">
        <f>AS8+'2-ф2'!AT5-'1-Ф3'!AT9/Исх!$C$19</f>
        <v>0</v>
      </c>
      <c r="AU8" s="132">
        <f>AT8+'2-ф2'!AU5-'1-Ф3'!AU9/Исх!$C$19</f>
        <v>0</v>
      </c>
    </row>
    <row r="9" spans="1:47" ht="15" customHeight="1">
      <c r="A9" s="131" t="s">
        <v>118</v>
      </c>
      <c r="B9" s="127"/>
      <c r="C9" s="132"/>
      <c r="D9" s="132">
        <f>C9+'1-Ф3'!D12/Исх!$C$19-'2-ф2'!D8</f>
        <v>0</v>
      </c>
      <c r="E9" s="132">
        <f>D9+'1-Ф3'!E12/Исх!$C$19-'2-ф2'!E8</f>
        <v>0</v>
      </c>
      <c r="F9" s="132">
        <f>E9+'1-Ф3'!F12/Исх!$C$19-'2-ф2'!F8</f>
        <v>0</v>
      </c>
      <c r="G9" s="132">
        <f>F9+'1-Ф3'!G12/Исх!$C$19-'2-ф2'!G8</f>
        <v>0</v>
      </c>
      <c r="H9" s="132">
        <f>G9+'1-Ф3'!H12/Исх!$C$19-'2-ф2'!H8</f>
        <v>0</v>
      </c>
      <c r="I9" s="132">
        <f>H9+'1-Ф3'!I12/Исх!$C$19-'2-ф2'!I8</f>
        <v>0</v>
      </c>
      <c r="J9" s="132">
        <f>I9+'1-Ф3'!J12/Исх!$C$19-'2-ф2'!J8</f>
        <v>0</v>
      </c>
      <c r="K9" s="132">
        <f>J9+'1-Ф3'!K12/Исх!$C$19-'2-ф2'!K8</f>
        <v>0</v>
      </c>
      <c r="L9" s="132">
        <f>K9+'1-Ф3'!L12/Исх!$C$19-'2-ф2'!L7</f>
        <v>0</v>
      </c>
      <c r="M9" s="132">
        <f>L9+'1-Ф3'!M12/Исх!$C$19-'2-ф2'!M7</f>
        <v>0</v>
      </c>
      <c r="N9" s="132">
        <f>M9+'1-Ф3'!N12/Исх!$C$19-'2-ф2'!N7</f>
        <v>0</v>
      </c>
      <c r="O9" s="132">
        <f>N9+'1-Ф3'!O12/Исх!$C$19-'2-ф2'!O7</f>
        <v>45607.75538194284</v>
      </c>
      <c r="P9" s="132">
        <f>O9</f>
        <v>45607.75538194284</v>
      </c>
      <c r="Q9" s="132">
        <f>P9+'1-Ф3'!Q12/Исх!$C$19-'2-ф2'!Q7</f>
        <v>68411.63307291426</v>
      </c>
      <c r="R9" s="132">
        <f>Q9+'1-Ф3'!R12/Исх!$C$19-'2-ф2'!R7</f>
        <v>91215.51076388569</v>
      </c>
      <c r="S9" s="132">
        <f>R9+'1-Ф3'!S12/Исх!$C$19-'2-ф2'!S7</f>
        <v>98847.20849779746</v>
      </c>
      <c r="T9" s="132">
        <f>S9+'1-Ф3'!T12/Исх!$C$19-'2-ф2'!T7</f>
        <v>103955.27710057505</v>
      </c>
      <c r="U9" s="132">
        <f>T9+'1-Ф3'!U12/Исх!$C$19-'2-ф2'!U7</f>
        <v>103377.57886573713</v>
      </c>
      <c r="V9" s="132">
        <f>U9+'1-Ф3'!V12/Исх!$C$19-'2-ф2'!V7</f>
        <v>87779.72652511267</v>
      </c>
      <c r="W9" s="132">
        <f>V9+'1-Ф3'!W12/Исх!$C$19-'2-ф2'!W7</f>
        <v>65067.06434490512</v>
      </c>
      <c r="X9" s="132">
        <f>W9+'1-Ф3'!X12/Исх!$C$19-'2-ф2'!X7</f>
        <v>49469.21200428064</v>
      </c>
      <c r="Y9" s="132">
        <f>X9+'1-Ф3'!Y12/Исх!$C$19-'2-ф2'!Y7</f>
        <v>47948.953491549204</v>
      </c>
      <c r="Z9" s="132">
        <f>Y9+'1-Ф3'!Z12/Исх!$C$19-'2-ф2'!Z7</f>
        <v>54334.039245021195</v>
      </c>
      <c r="AA9" s="132">
        <f>Z9+'1-Ф3'!AA12/Исх!$C$19-'2-ф2'!AA7</f>
        <v>76529.81353090004</v>
      </c>
      <c r="AB9" s="132">
        <f>AA9+'1-Ф3'!AB12/Исх!$C$19-'2-ф2'!AB7</f>
        <v>110431.57836481089</v>
      </c>
      <c r="AC9" s="132">
        <f>AB9</f>
        <v>110431.57836481089</v>
      </c>
      <c r="AD9" s="132">
        <f>AC9+'1-Ф3'!AD12/Исх!$C$19-'2-ф2'!AD7</f>
        <v>144257.3302730852</v>
      </c>
      <c r="AE9" s="132">
        <f>AD9+'1-Ф3'!AE12/Исх!$C$19-'2-ф2'!AE7</f>
        <v>160410.0769708566</v>
      </c>
      <c r="AF9" s="132">
        <f>AE9+'1-Ф3'!AF12/Исх!$C$19-'2-ф2'!AF7</f>
        <v>174472.4682136223</v>
      </c>
      <c r="AG9" s="132">
        <f>AF9+'1-Ф3'!AG12/Исх!$C$19-'2-ф2'!AG7</f>
        <v>176752.85598271945</v>
      </c>
      <c r="AH9" s="132">
        <f>AG9+'1-Ф3'!AH12/Исх!$C$19-'2-ф2'!AH7</f>
        <v>161360.23854131374</v>
      </c>
      <c r="AI9" s="132">
        <f>AH9+'1-Ф3'!AI12/Исх!$C$19-'2-ф2'!AI7</f>
        <v>128294.61588940516</v>
      </c>
      <c r="AJ9" s="132">
        <f>AI9+'1-Ф3'!AJ12/Исх!$C$19-'2-ф2'!AJ7</f>
        <v>83446.98976382802</v>
      </c>
      <c r="AK9" s="132">
        <f>AJ9+'1-Ф3'!AK12/Исх!$C$19-'2-ф2'!AK7</f>
        <v>50381.36711191945</v>
      </c>
      <c r="AL9" s="132">
        <f>AK9+'1-Ф3'!AL12/Исх!$C$19-'2-ф2'!AL7</f>
        <v>40879.75140734801</v>
      </c>
      <c r="AM9" s="132">
        <f>AL9+'1-Ф3'!AM12/Исх!$C$19-'2-ф2'!AM7</f>
        <v>43160.139176445155</v>
      </c>
      <c r="AN9" s="132">
        <f>AM9+'1-Ф3'!AN12/Исх!$C$19-'2-ф2'!AN7</f>
        <v>69004.53389287944</v>
      </c>
      <c r="AO9" s="132">
        <f>AN9+'1-Ф3'!AO12/Исх!$C$19-'2-ф2'!AO7</f>
        <v>110431.57836481085</v>
      </c>
      <c r="AP9" s="132">
        <f>AO9</f>
        <v>110431.57836481085</v>
      </c>
      <c r="AQ9" s="132">
        <f>AP9+'1-Ф3'!AQ12/Исх!$C$19-'2-ф2'!AQ7</f>
        <v>110431.5783648109</v>
      </c>
      <c r="AR9" s="132">
        <f>AQ9+'1-Ф3'!AR12/Исх!$C$19-'2-ф2'!AR7</f>
        <v>110431.5783648109</v>
      </c>
      <c r="AS9" s="132">
        <f>AR9+'1-Ф3'!AS12/Исх!$C$19-'2-ф2'!AS7</f>
        <v>110431.5783648109</v>
      </c>
      <c r="AT9" s="132">
        <f>AS9+'1-Ф3'!AT12/Исх!$C$19-'2-ф2'!AT7</f>
        <v>110431.5783648109</v>
      </c>
      <c r="AU9" s="132">
        <f>AT9+'1-Ф3'!AU12/Исх!$C$19-'2-ф2'!AU7</f>
        <v>110431.5783648109</v>
      </c>
    </row>
    <row r="10" spans="1:47" ht="15" customHeight="1">
      <c r="A10" s="131" t="s">
        <v>119</v>
      </c>
      <c r="B10" s="127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>
        <f>O10</f>
        <v>0</v>
      </c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>
        <f>AB10</f>
        <v>0</v>
      </c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>
        <f>AO10</f>
        <v>0</v>
      </c>
      <c r="AQ10" s="132"/>
      <c r="AR10" s="132"/>
      <c r="AS10" s="132"/>
      <c r="AT10" s="132"/>
      <c r="AU10" s="132"/>
    </row>
    <row r="11" spans="1:47" ht="15" customHeight="1">
      <c r="A11" s="126" t="s">
        <v>120</v>
      </c>
      <c r="B11" s="127"/>
      <c r="C11" s="128">
        <f aca="true" t="shared" si="7" ref="C11:AT11">SUM(C12:C14)</f>
        <v>0</v>
      </c>
      <c r="D11" s="128">
        <f t="shared" si="7"/>
        <v>0</v>
      </c>
      <c r="E11" s="128">
        <f t="shared" si="7"/>
        <v>0</v>
      </c>
      <c r="F11" s="128">
        <f t="shared" si="7"/>
        <v>0</v>
      </c>
      <c r="G11" s="128">
        <f t="shared" si="7"/>
        <v>0</v>
      </c>
      <c r="H11" s="128">
        <f t="shared" si="7"/>
        <v>0</v>
      </c>
      <c r="I11" s="128">
        <f t="shared" si="7"/>
        <v>0</v>
      </c>
      <c r="J11" s="128">
        <f t="shared" si="7"/>
        <v>0</v>
      </c>
      <c r="K11" s="128">
        <f t="shared" si="7"/>
        <v>28643.324057142854</v>
      </c>
      <c r="L11" s="128">
        <f t="shared" si="7"/>
        <v>49278.074057142854</v>
      </c>
      <c r="M11" s="128">
        <f t="shared" si="7"/>
        <v>78260.44748571428</v>
      </c>
      <c r="N11" s="128">
        <f t="shared" si="7"/>
        <v>98895.19748571428</v>
      </c>
      <c r="O11" s="128">
        <f t="shared" si="7"/>
        <v>255334.23464583312</v>
      </c>
      <c r="P11" s="128">
        <f t="shared" si="7"/>
        <v>255334.23464583312</v>
      </c>
      <c r="Q11" s="128">
        <f t="shared" si="7"/>
        <v>256540.3812990354</v>
      </c>
      <c r="R11" s="128">
        <f t="shared" si="7"/>
        <v>257746.52795223767</v>
      </c>
      <c r="S11" s="128">
        <f t="shared" si="7"/>
        <v>256173.93615925938</v>
      </c>
      <c r="T11" s="128">
        <f t="shared" si="7"/>
        <v>253979.14992010052</v>
      </c>
      <c r="U11" s="128">
        <f t="shared" si="7"/>
        <v>250623.03323476107</v>
      </c>
      <c r="V11" s="128">
        <f t="shared" si="7"/>
        <v>244706.02054942164</v>
      </c>
      <c r="W11" s="128">
        <f t="shared" si="7"/>
        <v>237575.9518640822</v>
      </c>
      <c r="X11" s="128">
        <f t="shared" si="7"/>
        <v>231658.93917874276</v>
      </c>
      <c r="Y11" s="128">
        <f t="shared" si="7"/>
        <v>227950.19604722277</v>
      </c>
      <c r="Z11" s="128">
        <f t="shared" si="7"/>
        <v>225589.29291570274</v>
      </c>
      <c r="AA11" s="128">
        <f t="shared" si="7"/>
        <v>225924.06978418274</v>
      </c>
      <c r="AB11" s="128">
        <f t="shared" si="7"/>
        <v>228062.76420648216</v>
      </c>
      <c r="AC11" s="128">
        <f t="shared" si="7"/>
        <v>228062.76420648216</v>
      </c>
      <c r="AD11" s="128">
        <f aca="true" t="shared" si="8" ref="AD11:AP11">SUM(AD12:AD14)</f>
        <v>230017.194374101</v>
      </c>
      <c r="AE11" s="128">
        <f t="shared" si="8"/>
        <v>228958.42454171984</v>
      </c>
      <c r="AF11" s="128">
        <f t="shared" si="8"/>
        <v>227351.33226315814</v>
      </c>
      <c r="AG11" s="128">
        <f t="shared" si="8"/>
        <v>223735.4399845964</v>
      </c>
      <c r="AH11" s="128">
        <f t="shared" si="8"/>
        <v>217106.3477060347</v>
      </c>
      <c r="AI11" s="128">
        <f t="shared" si="8"/>
        <v>207464.05542747295</v>
      </c>
      <c r="AJ11" s="128">
        <f t="shared" si="8"/>
        <v>195812.96314891125</v>
      </c>
      <c r="AK11" s="128">
        <f t="shared" si="8"/>
        <v>190151.71428571412</v>
      </c>
      <c r="AL11" s="128">
        <f t="shared" si="8"/>
        <v>188504.77749999982</v>
      </c>
      <c r="AM11" s="128">
        <f t="shared" si="8"/>
        <v>186857.84071428553</v>
      </c>
      <c r="AN11" s="128">
        <f t="shared" si="8"/>
        <v>185210.90392857124</v>
      </c>
      <c r="AO11" s="128">
        <f t="shared" si="8"/>
        <v>183563.96714285694</v>
      </c>
      <c r="AP11" s="128">
        <f t="shared" si="8"/>
        <v>183563.96714285694</v>
      </c>
      <c r="AQ11" s="128">
        <f t="shared" si="7"/>
        <v>163800.7257142855</v>
      </c>
      <c r="AR11" s="128">
        <f t="shared" si="7"/>
        <v>144037.48428571408</v>
      </c>
      <c r="AS11" s="128">
        <f t="shared" si="7"/>
        <v>124274.24285714264</v>
      </c>
      <c r="AT11" s="128">
        <f t="shared" si="7"/>
        <v>104511.00142857121</v>
      </c>
      <c r="AU11" s="128">
        <f>SUM(AU12:AU14)</f>
        <v>84747.75999999978</v>
      </c>
    </row>
    <row r="12" spans="1:47" ht="12.75">
      <c r="A12" s="131" t="s">
        <v>121</v>
      </c>
      <c r="B12" s="133"/>
      <c r="C12" s="132"/>
      <c r="D12" s="132">
        <f>C12+'1-Ф3'!D20/Исх!$C$19-'2-ф2'!D11</f>
        <v>0</v>
      </c>
      <c r="E12" s="132">
        <f>D12+'1-Ф3'!E20/Исх!$C$19-'2-ф2'!E11</f>
        <v>0</v>
      </c>
      <c r="F12" s="132">
        <f>E12+'1-Ф3'!F20/Исх!$C$19-'2-ф2'!F11</f>
        <v>0</v>
      </c>
      <c r="G12" s="132">
        <f>F12+'1-Ф3'!G20/Исх!$C$19-'2-ф2'!G11</f>
        <v>0</v>
      </c>
      <c r="H12" s="132">
        <f>G12+'1-Ф3'!H20/Исх!$C$19-'2-ф2'!H11</f>
        <v>0</v>
      </c>
      <c r="I12" s="132">
        <f>H12+'1-Ф3'!I20/Исх!$C$19-'2-ф2'!I11</f>
        <v>0</v>
      </c>
      <c r="J12" s="132">
        <f>I12+'1-Ф3'!J20/Исх!$C$19-'2-ф2'!J11</f>
        <v>0</v>
      </c>
      <c r="K12" s="132"/>
      <c r="L12" s="132"/>
      <c r="M12" s="132"/>
      <c r="N12" s="132"/>
      <c r="O12" s="132">
        <f>Инв!P27</f>
        <v>223090.44999999998</v>
      </c>
      <c r="P12" s="132">
        <f>O12</f>
        <v>223090.44999999998</v>
      </c>
      <c r="Q12" s="132">
        <f>P12-'2-ф2'!Q11</f>
        <v>221443.5132142857</v>
      </c>
      <c r="R12" s="132">
        <f>Q12-'2-ф2'!R11</f>
        <v>219796.5764285714</v>
      </c>
      <c r="S12" s="132">
        <f>R12-'2-ф2'!S11</f>
        <v>218149.6396428571</v>
      </c>
      <c r="T12" s="132">
        <f>S12-'2-ф2'!T11</f>
        <v>216502.7028571428</v>
      </c>
      <c r="U12" s="132">
        <f>T12-'2-ф2'!U11</f>
        <v>214855.76607142852</v>
      </c>
      <c r="V12" s="132">
        <f>U12-'2-ф2'!V11</f>
        <v>213208.82928571422</v>
      </c>
      <c r="W12" s="132">
        <f>V12-'2-ф2'!W11</f>
        <v>211561.89249999993</v>
      </c>
      <c r="X12" s="132">
        <f>W12-'2-ф2'!X11</f>
        <v>209914.95571428564</v>
      </c>
      <c r="Y12" s="132">
        <f>X12-'2-ф2'!Y11</f>
        <v>208268.01892857134</v>
      </c>
      <c r="Z12" s="132">
        <f>Y12-'2-ф2'!Z11</f>
        <v>206621.08214285705</v>
      </c>
      <c r="AA12" s="132">
        <f>Z12-'2-ф2'!AA11</f>
        <v>204974.14535714276</v>
      </c>
      <c r="AB12" s="132">
        <f>AA12-'2-ф2'!AB11</f>
        <v>203327.20857142846</v>
      </c>
      <c r="AC12" s="132">
        <f>AB12</f>
        <v>203327.20857142846</v>
      </c>
      <c r="AD12" s="132">
        <f>AC12-'2-ф2'!AD11</f>
        <v>201680.27178571417</v>
      </c>
      <c r="AE12" s="132">
        <f>AD12-'2-ф2'!AE11</f>
        <v>200033.33499999988</v>
      </c>
      <c r="AF12" s="132">
        <f>AE12-'2-ф2'!AF11</f>
        <v>198386.39821428558</v>
      </c>
      <c r="AG12" s="132">
        <f>AF12-'2-ф2'!AG11</f>
        <v>196739.4614285713</v>
      </c>
      <c r="AH12" s="132">
        <f>AG12-'2-ф2'!AH11</f>
        <v>195092.524642857</v>
      </c>
      <c r="AI12" s="132">
        <f>AH12-'2-ф2'!AI11</f>
        <v>193445.5878571427</v>
      </c>
      <c r="AJ12" s="132">
        <f>AI12-'2-ф2'!AJ11</f>
        <v>191798.6510714284</v>
      </c>
      <c r="AK12" s="132">
        <f>AJ12-'2-ф2'!AK11</f>
        <v>190151.71428571412</v>
      </c>
      <c r="AL12" s="132">
        <f>AK12-'2-ф2'!AL11</f>
        <v>188504.77749999982</v>
      </c>
      <c r="AM12" s="132">
        <f>AL12-'2-ф2'!AM11</f>
        <v>186857.84071428553</v>
      </c>
      <c r="AN12" s="132">
        <f>AM12-'2-ф2'!AN11</f>
        <v>185210.90392857124</v>
      </c>
      <c r="AO12" s="132">
        <f>AN12-'2-ф2'!AO11</f>
        <v>183563.96714285694</v>
      </c>
      <c r="AP12" s="132">
        <f>AO12</f>
        <v>183563.96714285694</v>
      </c>
      <c r="AQ12" s="132">
        <f>AP12-'2-ф2'!AQ11</f>
        <v>163800.7257142855</v>
      </c>
      <c r="AR12" s="132">
        <f>AQ12-'2-ф2'!AR11</f>
        <v>144037.48428571408</v>
      </c>
      <c r="AS12" s="132">
        <f>AR12-'2-ф2'!AS11</f>
        <v>124274.24285714264</v>
      </c>
      <c r="AT12" s="132">
        <f>AS12-'2-ф2'!AT11</f>
        <v>104511.00142857121</v>
      </c>
      <c r="AU12" s="132">
        <f>AT12-'2-ф2'!AU11</f>
        <v>84747.75999999978</v>
      </c>
    </row>
    <row r="13" spans="1:47" ht="12.75">
      <c r="A13" s="131" t="s">
        <v>257</v>
      </c>
      <c r="B13" s="133"/>
      <c r="C13" s="132"/>
      <c r="D13" s="132">
        <f aca="true" t="shared" si="9" ref="D13:J13">C13</f>
        <v>0</v>
      </c>
      <c r="E13" s="132">
        <f t="shared" si="9"/>
        <v>0</v>
      </c>
      <c r="F13" s="132">
        <f t="shared" si="9"/>
        <v>0</v>
      </c>
      <c r="G13" s="132">
        <f t="shared" si="9"/>
        <v>0</v>
      </c>
      <c r="H13" s="132">
        <f t="shared" si="9"/>
        <v>0</v>
      </c>
      <c r="I13" s="132">
        <f t="shared" si="9"/>
        <v>0</v>
      </c>
      <c r="J13" s="132">
        <f t="shared" si="9"/>
        <v>0</v>
      </c>
      <c r="K13" s="132">
        <f>Инв!L24/Исх!$C$19</f>
        <v>21102.455357142855</v>
      </c>
      <c r="L13" s="132">
        <f>Инв!M24/Исх!$C$19</f>
        <v>39526.33928571428</v>
      </c>
      <c r="M13" s="132">
        <f>Инв!N24/Исх!$C$19</f>
        <v>57950.22321428571</v>
      </c>
      <c r="N13" s="132">
        <f>Инв!O24/Исх!$C$19</f>
        <v>76374.10714285713</v>
      </c>
      <c r="O13" s="132">
        <f>Инв!P24/Исх!$C$19</f>
        <v>0</v>
      </c>
      <c r="P13" s="132">
        <f>O13</f>
        <v>0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>
        <f>AB13</f>
        <v>0</v>
      </c>
      <c r="AD13" s="132"/>
      <c r="AE13" s="132">
        <f aca="true" t="shared" si="10" ref="AE13:AO13">AD13</f>
        <v>0</v>
      </c>
      <c r="AF13" s="132">
        <f t="shared" si="10"/>
        <v>0</v>
      </c>
      <c r="AG13" s="132">
        <f t="shared" si="10"/>
        <v>0</v>
      </c>
      <c r="AH13" s="132">
        <f t="shared" si="10"/>
        <v>0</v>
      </c>
      <c r="AI13" s="132">
        <f t="shared" si="10"/>
        <v>0</v>
      </c>
      <c r="AJ13" s="132">
        <f t="shared" si="10"/>
        <v>0</v>
      </c>
      <c r="AK13" s="132">
        <f t="shared" si="10"/>
        <v>0</v>
      </c>
      <c r="AL13" s="132">
        <f t="shared" si="10"/>
        <v>0</v>
      </c>
      <c r="AM13" s="132">
        <f t="shared" si="10"/>
        <v>0</v>
      </c>
      <c r="AN13" s="132">
        <f t="shared" si="10"/>
        <v>0</v>
      </c>
      <c r="AO13" s="132">
        <f t="shared" si="10"/>
        <v>0</v>
      </c>
      <c r="AP13" s="132">
        <f>AO13</f>
        <v>0</v>
      </c>
      <c r="AQ13" s="132">
        <f>AP13</f>
        <v>0</v>
      </c>
      <c r="AR13" s="132">
        <f>AQ13</f>
        <v>0</v>
      </c>
      <c r="AS13" s="132">
        <f>AR13</f>
        <v>0</v>
      </c>
      <c r="AT13" s="132">
        <f>AS13</f>
        <v>0</v>
      </c>
      <c r="AU13" s="132">
        <f>AT13</f>
        <v>0</v>
      </c>
    </row>
    <row r="14" spans="1:47" ht="12.75">
      <c r="A14" s="131" t="s">
        <v>122</v>
      </c>
      <c r="B14" s="133"/>
      <c r="C14" s="132"/>
      <c r="D14" s="132">
        <f>IF('2-ф2'!D26&lt;0,-'2-ф2'!D26,0)</f>
        <v>0</v>
      </c>
      <c r="E14" s="132">
        <f>IF('2-ф2'!E26&lt;0,-'2-ф2'!E26,0)</f>
        <v>0</v>
      </c>
      <c r="F14" s="132">
        <f>IF('2-ф2'!F26&lt;0,-'2-ф2'!F26,0)</f>
        <v>0</v>
      </c>
      <c r="G14" s="132">
        <f>IF('2-ф2'!G26&lt;0,-'2-ф2'!G26,0)</f>
        <v>0</v>
      </c>
      <c r="H14" s="132">
        <f>IF('2-ф2'!H26&lt;0,-'2-ф2'!H26,0)</f>
        <v>0</v>
      </c>
      <c r="I14" s="132">
        <f>IF('2-ф2'!I26&lt;0,-'2-ф2'!I26,0)</f>
        <v>0</v>
      </c>
      <c r="J14" s="132">
        <f>IF('2-ф2'!J26&lt;0,-'2-ф2'!J26,0)</f>
        <v>0</v>
      </c>
      <c r="K14" s="132">
        <f>IF('2-ф2'!K26&lt;0,-'2-ф2'!K26,0)</f>
        <v>7540.868699999999</v>
      </c>
      <c r="L14" s="132">
        <f>IF('2-ф2'!L26&lt;0,-'2-ф2'!L26,0)</f>
        <v>9751.73477142857</v>
      </c>
      <c r="M14" s="132">
        <f>IF('2-ф2'!M26&lt;0,-'2-ф2'!M26,0)</f>
        <v>20310.224271428568</v>
      </c>
      <c r="N14" s="132">
        <f>IF('2-ф2'!N26&lt;0,-'2-ф2'!N26,0)</f>
        <v>22521.09034285714</v>
      </c>
      <c r="O14" s="132">
        <f>IF('2-ф2'!O26&lt;0,-'2-ф2'!O26,0)</f>
        <v>32243.784645833137</v>
      </c>
      <c r="P14" s="132">
        <f>O14</f>
        <v>32243.784645833137</v>
      </c>
      <c r="Q14" s="132">
        <f>IF('2-ф2'!Q26&lt;0,-'2-ф2'!Q26,0)</f>
        <v>35096.86808474971</v>
      </c>
      <c r="R14" s="132">
        <f>IF('2-ф2'!R26&lt;0,-'2-ф2'!R26,0)</f>
        <v>37949.95152366628</v>
      </c>
      <c r="S14" s="132">
        <f>IF('2-ф2'!S26&lt;0,-'2-ф2'!S26,0)</f>
        <v>38024.296516402275</v>
      </c>
      <c r="T14" s="132">
        <f>IF('2-ф2'!T26&lt;0,-'2-ф2'!T26,0)</f>
        <v>37476.447062957704</v>
      </c>
      <c r="U14" s="132">
        <f>IF('2-ф2'!U26&lt;0,-'2-ф2'!U26,0)</f>
        <v>35767.26716333256</v>
      </c>
      <c r="V14" s="132">
        <f>IF('2-ф2'!V26&lt;0,-'2-ф2'!V26,0)</f>
        <v>31497.191263707413</v>
      </c>
      <c r="W14" s="132">
        <f>IF('2-ф2'!W26&lt;0,-'2-ф2'!W26,0)</f>
        <v>26014.05936408227</v>
      </c>
      <c r="X14" s="132">
        <f>IF('2-ф2'!X26&lt;0,-'2-ф2'!X26,0)</f>
        <v>21743.983464457124</v>
      </c>
      <c r="Y14" s="132">
        <f>IF('2-ф2'!Y26&lt;0,-'2-ф2'!Y26,0)</f>
        <v>19682.17711865141</v>
      </c>
      <c r="Z14" s="132">
        <f>IF('2-ф2'!Z26&lt;0,-'2-ф2'!Z26,0)</f>
        <v>18968.210772845694</v>
      </c>
      <c r="AA14" s="132">
        <f>IF('2-ф2'!AA26&lt;0,-'2-ф2'!AA26,0)</f>
        <v>20949.92442703998</v>
      </c>
      <c r="AB14" s="132">
        <f>IF('2-ф2'!AB26&lt;0,-'2-ф2'!AB26,0)</f>
        <v>24735.555635053694</v>
      </c>
      <c r="AC14" s="132">
        <f>AB14</f>
        <v>24735.555635053694</v>
      </c>
      <c r="AD14" s="132">
        <f>IF('2-ф2'!AD26&lt;0,-'2-ф2'!AD26,0)</f>
        <v>28336.922588386835</v>
      </c>
      <c r="AE14" s="132">
        <f>IF('2-ф2'!AE26&lt;0,-'2-ф2'!AE26,0)</f>
        <v>28925.089541719975</v>
      </c>
      <c r="AF14" s="132">
        <f>IF('2-ф2'!AF26&lt;0,-'2-ф2'!AF26,0)</f>
        <v>28964.934048872547</v>
      </c>
      <c r="AG14" s="132">
        <f>IF('2-ф2'!AG26&lt;0,-'2-ф2'!AG26,0)</f>
        <v>26995.97855602512</v>
      </c>
      <c r="AH14" s="132">
        <f>IF('2-ф2'!AH26&lt;0,-'2-ф2'!AH26,0)</f>
        <v>22013.82306317769</v>
      </c>
      <c r="AI14" s="132">
        <f>IF('2-ф2'!AI26&lt;0,-'2-ф2'!AI26,0)</f>
        <v>14018.46757033026</v>
      </c>
      <c r="AJ14" s="132">
        <f>IF('2-ф2'!AJ26&lt;0,-'2-ф2'!AJ26,0)</f>
        <v>4014.3120774828312</v>
      </c>
      <c r="AK14" s="132">
        <f>IF('2-ф2'!AK26&lt;0,-'2-ф2'!AK26,0)</f>
        <v>0</v>
      </c>
      <c r="AL14" s="132">
        <f>IF('2-ф2'!AL26&lt;0,-'2-ф2'!AL26,0)</f>
        <v>0</v>
      </c>
      <c r="AM14" s="132">
        <f>IF('2-ф2'!AM26&lt;0,-'2-ф2'!AM26,0)</f>
        <v>0</v>
      </c>
      <c r="AN14" s="132">
        <f>IF('2-ф2'!AN26&lt;0,-'2-ф2'!AN26,0)</f>
        <v>0</v>
      </c>
      <c r="AO14" s="132">
        <f>IF('2-ф2'!AO26&lt;0,-'2-ф2'!AO26,0)</f>
        <v>0</v>
      </c>
      <c r="AP14" s="132">
        <f>AO14</f>
        <v>0</v>
      </c>
      <c r="AQ14" s="132">
        <f>IF('2-ф2'!AQ26&lt;0,-'2-ф2'!AQ26,0)</f>
        <v>0</v>
      </c>
      <c r="AR14" s="132">
        <f>IF('2-ф2'!AR26&lt;0,-'2-ф2'!AR26,0)</f>
        <v>0</v>
      </c>
      <c r="AS14" s="132">
        <f>IF('2-ф2'!AS26&lt;0,-'2-ф2'!AS26,0)</f>
        <v>0</v>
      </c>
      <c r="AT14" s="132">
        <f>IF('2-ф2'!AT26&lt;0,-'2-ф2'!AT26,0)</f>
        <v>0</v>
      </c>
      <c r="AU14" s="132">
        <f>IF('2-ф2'!AU26&lt;0,-'2-ф2'!AU26,0)</f>
        <v>0</v>
      </c>
    </row>
    <row r="15" spans="1:196" ht="12.75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</row>
    <row r="16" spans="1:54" s="130" customFormat="1" ht="15" customHeight="1">
      <c r="A16" s="126" t="s">
        <v>123</v>
      </c>
      <c r="B16" s="127"/>
      <c r="C16" s="127">
        <f aca="true" t="shared" si="11" ref="C16:AT16">C21+C24+C17</f>
        <v>0</v>
      </c>
      <c r="D16" s="127">
        <f t="shared" si="11"/>
        <v>0</v>
      </c>
      <c r="E16" s="127">
        <f t="shared" si="11"/>
        <v>0</v>
      </c>
      <c r="F16" s="127">
        <f t="shared" si="11"/>
        <v>0</v>
      </c>
      <c r="G16" s="127">
        <f t="shared" si="11"/>
        <v>0</v>
      </c>
      <c r="H16" s="127">
        <f t="shared" si="11"/>
        <v>0</v>
      </c>
      <c r="I16" s="127">
        <f t="shared" si="11"/>
        <v>0</v>
      </c>
      <c r="J16" s="127">
        <f t="shared" si="11"/>
        <v>0</v>
      </c>
      <c r="K16" s="127">
        <f t="shared" si="11"/>
        <v>70381.4412</v>
      </c>
      <c r="L16" s="127">
        <f t="shared" si="11"/>
        <v>91016.1912</v>
      </c>
      <c r="M16" s="127">
        <f t="shared" si="11"/>
        <v>189562.0932</v>
      </c>
      <c r="N16" s="127">
        <f t="shared" si="11"/>
        <v>249861.304</v>
      </c>
      <c r="O16" s="127">
        <f t="shared" si="11"/>
        <v>300941.990027776</v>
      </c>
      <c r="P16" s="127">
        <f t="shared" si="11"/>
        <v>300941.990027776</v>
      </c>
      <c r="Q16" s="127">
        <f t="shared" si="11"/>
        <v>324952.0143719497</v>
      </c>
      <c r="R16" s="127">
        <f t="shared" si="11"/>
        <v>348962.0387161234</v>
      </c>
      <c r="S16" s="127">
        <f t="shared" si="11"/>
        <v>363021.1446570569</v>
      </c>
      <c r="T16" s="127">
        <f t="shared" si="11"/>
        <v>367294.63284169405</v>
      </c>
      <c r="U16" s="127">
        <f t="shared" si="11"/>
        <v>375560.107906887</v>
      </c>
      <c r="V16" s="127">
        <f t="shared" si="11"/>
        <v>388179.52194173035</v>
      </c>
      <c r="W16" s="127">
        <f t="shared" si="11"/>
        <v>400959.1359025428</v>
      </c>
      <c r="X16" s="127">
        <f t="shared" si="11"/>
        <v>409636.9987657417</v>
      </c>
      <c r="Y16" s="127">
        <f t="shared" si="11"/>
        <v>413809.15149695205</v>
      </c>
      <c r="Z16" s="127">
        <f t="shared" si="11"/>
        <v>415316.68002175266</v>
      </c>
      <c r="AA16" s="127">
        <f t="shared" si="11"/>
        <v>411498.24050532666</v>
      </c>
      <c r="AB16" s="127">
        <f t="shared" si="11"/>
        <v>405015.13817465294</v>
      </c>
      <c r="AC16" s="127">
        <f t="shared" si="11"/>
        <v>405015.13817465294</v>
      </c>
      <c r="AD16" s="127">
        <f aca="true" t="shared" si="12" ref="AD16:AP16">AD21+AD24+AD17</f>
        <v>399554.95696034736</v>
      </c>
      <c r="AE16" s="127">
        <f t="shared" si="12"/>
        <v>400040.99429085245</v>
      </c>
      <c r="AF16" s="127">
        <f t="shared" si="12"/>
        <v>402506.83324426354</v>
      </c>
      <c r="AG16" s="127">
        <f t="shared" si="12"/>
        <v>408935.65261535184</v>
      </c>
      <c r="AH16" s="127">
        <f t="shared" si="12"/>
        <v>421310.63108329696</v>
      </c>
      <c r="AI16" s="127">
        <f t="shared" si="12"/>
        <v>439631.7486004796</v>
      </c>
      <c r="AJ16" s="127">
        <f t="shared" si="12"/>
        <v>461915.7863918034</v>
      </c>
      <c r="AK16" s="127">
        <f t="shared" si="12"/>
        <v>480229.9297329476</v>
      </c>
      <c r="AL16" s="127">
        <f t="shared" si="12"/>
        <v>490607.7610023441</v>
      </c>
      <c r="AM16" s="127">
        <f t="shared" si="12"/>
        <v>497015.6569015516</v>
      </c>
      <c r="AN16" s="127">
        <f t="shared" si="12"/>
        <v>495487.19957030204</v>
      </c>
      <c r="AO16" s="127">
        <f t="shared" si="12"/>
        <v>489988.7654700619</v>
      </c>
      <c r="AP16" s="127">
        <f t="shared" si="12"/>
        <v>489988.7654700619</v>
      </c>
      <c r="AQ16" s="127">
        <f t="shared" si="11"/>
        <v>588608.5225259146</v>
      </c>
      <c r="AR16" s="127">
        <f t="shared" si="11"/>
        <v>699473.5711225539</v>
      </c>
      <c r="AS16" s="127">
        <f t="shared" si="11"/>
        <v>822428.5317055513</v>
      </c>
      <c r="AT16" s="127">
        <f t="shared" si="11"/>
        <v>957309.3595644712</v>
      </c>
      <c r="AU16" s="127">
        <f>AU21+AU24+AU17</f>
        <v>1114388.8476907378</v>
      </c>
      <c r="AV16" s="129"/>
      <c r="AW16" s="129"/>
      <c r="AX16" s="129"/>
      <c r="AY16" s="129"/>
      <c r="AZ16" s="129"/>
      <c r="BA16" s="129"/>
      <c r="BB16" s="129"/>
    </row>
    <row r="17" spans="1:47" ht="15" customHeight="1">
      <c r="A17" s="126" t="s">
        <v>124</v>
      </c>
      <c r="B17" s="127"/>
      <c r="C17" s="127">
        <f aca="true" t="shared" si="13" ref="C17:AT17">SUM(C18:C20)</f>
        <v>0</v>
      </c>
      <c r="D17" s="127">
        <f t="shared" si="13"/>
        <v>0</v>
      </c>
      <c r="E17" s="127">
        <f t="shared" si="13"/>
        <v>0</v>
      </c>
      <c r="F17" s="127">
        <f t="shared" si="13"/>
        <v>0</v>
      </c>
      <c r="G17" s="127">
        <f t="shared" si="13"/>
        <v>0</v>
      </c>
      <c r="H17" s="127">
        <f t="shared" si="13"/>
        <v>0</v>
      </c>
      <c r="I17" s="127">
        <f t="shared" si="13"/>
        <v>0</v>
      </c>
      <c r="J17" s="127">
        <f t="shared" si="13"/>
        <v>0</v>
      </c>
      <c r="K17" s="127">
        <f t="shared" si="13"/>
        <v>0</v>
      </c>
      <c r="L17" s="127">
        <f t="shared" si="13"/>
        <v>410.55840700000005</v>
      </c>
      <c r="M17" s="127">
        <f t="shared" si="13"/>
        <v>941.4861890000002</v>
      </c>
      <c r="N17" s="127">
        <f t="shared" si="13"/>
        <v>2047.2650660000004</v>
      </c>
      <c r="O17" s="127">
        <f t="shared" si="13"/>
        <v>3504.7893393333343</v>
      </c>
      <c r="P17" s="127">
        <f t="shared" si="13"/>
        <v>3504.7893393333343</v>
      </c>
      <c r="Q17" s="127">
        <f t="shared" si="13"/>
        <v>4962.313612666668</v>
      </c>
      <c r="R17" s="127">
        <f t="shared" si="13"/>
        <v>6419.837886000001</v>
      </c>
      <c r="S17" s="127">
        <f t="shared" si="13"/>
        <v>7877.362159333335</v>
      </c>
      <c r="T17" s="127">
        <f t="shared" si="13"/>
        <v>9334.886432666668</v>
      </c>
      <c r="U17" s="127">
        <f t="shared" si="13"/>
        <v>7097.385043000002</v>
      </c>
      <c r="V17" s="127">
        <f t="shared" si="13"/>
        <v>7061.026534333336</v>
      </c>
      <c r="W17" s="127">
        <f t="shared" si="13"/>
        <v>2813.9631706666687</v>
      </c>
      <c r="X17" s="127">
        <f t="shared" si="13"/>
        <v>0</v>
      </c>
      <c r="Y17" s="127">
        <f t="shared" si="13"/>
        <v>0</v>
      </c>
      <c r="Z17" s="127">
        <f t="shared" si="13"/>
        <v>0</v>
      </c>
      <c r="AA17" s="127">
        <f t="shared" si="13"/>
        <v>0</v>
      </c>
      <c r="AB17" s="127">
        <f t="shared" si="13"/>
        <v>0</v>
      </c>
      <c r="AC17" s="127">
        <f t="shared" si="13"/>
        <v>0</v>
      </c>
      <c r="AD17" s="127">
        <f aca="true" t="shared" si="14" ref="AD17:AP17">SUM(AD18:AD20)</f>
        <v>0</v>
      </c>
      <c r="AE17" s="127">
        <f t="shared" si="14"/>
        <v>0</v>
      </c>
      <c r="AF17" s="127">
        <f t="shared" si="14"/>
        <v>0</v>
      </c>
      <c r="AG17" s="127">
        <f t="shared" si="14"/>
        <v>0</v>
      </c>
      <c r="AH17" s="127">
        <f t="shared" si="14"/>
        <v>0</v>
      </c>
      <c r="AI17" s="127">
        <f t="shared" si="14"/>
        <v>0</v>
      </c>
      <c r="AJ17" s="127">
        <f t="shared" si="14"/>
        <v>0</v>
      </c>
      <c r="AK17" s="127">
        <f t="shared" si="14"/>
        <v>0</v>
      </c>
      <c r="AL17" s="127">
        <f t="shared" si="14"/>
        <v>0</v>
      </c>
      <c r="AM17" s="127">
        <f t="shared" si="14"/>
        <v>0</v>
      </c>
      <c r="AN17" s="127">
        <f t="shared" si="14"/>
        <v>0</v>
      </c>
      <c r="AO17" s="127">
        <f t="shared" si="14"/>
        <v>0</v>
      </c>
      <c r="AP17" s="127">
        <f t="shared" si="14"/>
        <v>0</v>
      </c>
      <c r="AQ17" s="127">
        <f t="shared" si="13"/>
        <v>0</v>
      </c>
      <c r="AR17" s="127">
        <f t="shared" si="13"/>
        <v>0</v>
      </c>
      <c r="AS17" s="127">
        <f t="shared" si="13"/>
        <v>0</v>
      </c>
      <c r="AT17" s="127">
        <f t="shared" si="13"/>
        <v>0</v>
      </c>
      <c r="AU17" s="127">
        <f>SUM(AU18:AU20)</f>
        <v>0</v>
      </c>
    </row>
    <row r="18" spans="1:47" ht="12.75" hidden="1">
      <c r="A18" s="131" t="s">
        <v>125</v>
      </c>
      <c r="B18" s="133"/>
      <c r="C18" s="133"/>
      <c r="D18" s="133">
        <f>C18</f>
        <v>0</v>
      </c>
      <c r="E18" s="133">
        <f>D18</f>
        <v>0</v>
      </c>
      <c r="F18" s="133">
        <f aca="true" t="shared" si="15" ref="F18:O18">E18</f>
        <v>0</v>
      </c>
      <c r="G18" s="133">
        <f t="shared" si="15"/>
        <v>0</v>
      </c>
      <c r="H18" s="133">
        <f t="shared" si="15"/>
        <v>0</v>
      </c>
      <c r="I18" s="133">
        <f t="shared" si="15"/>
        <v>0</v>
      </c>
      <c r="J18" s="133">
        <f t="shared" si="15"/>
        <v>0</v>
      </c>
      <c r="K18" s="133">
        <f t="shared" si="15"/>
        <v>0</v>
      </c>
      <c r="L18" s="133">
        <f t="shared" si="15"/>
        <v>0</v>
      </c>
      <c r="M18" s="133">
        <f t="shared" si="15"/>
        <v>0</v>
      </c>
      <c r="N18" s="133">
        <f t="shared" si="15"/>
        <v>0</v>
      </c>
      <c r="O18" s="133">
        <f t="shared" si="15"/>
        <v>0</v>
      </c>
      <c r="P18" s="133">
        <f>O18</f>
        <v>0</v>
      </c>
      <c r="Q18" s="133">
        <f>P18</f>
        <v>0</v>
      </c>
      <c r="R18" s="133">
        <f>Q18</f>
        <v>0</v>
      </c>
      <c r="S18" s="133">
        <f>R18</f>
        <v>0</v>
      </c>
      <c r="T18" s="133">
        <f>S18</f>
        <v>0</v>
      </c>
      <c r="U18" s="133">
        <f aca="true" t="shared" si="16" ref="U18:AR18">T18</f>
        <v>0</v>
      </c>
      <c r="V18" s="133">
        <f t="shared" si="16"/>
        <v>0</v>
      </c>
      <c r="W18" s="133">
        <f t="shared" si="16"/>
        <v>0</v>
      </c>
      <c r="X18" s="133">
        <f t="shared" si="16"/>
        <v>0</v>
      </c>
      <c r="Y18" s="133">
        <f t="shared" si="16"/>
        <v>0</v>
      </c>
      <c r="Z18" s="133">
        <f t="shared" si="16"/>
        <v>0</v>
      </c>
      <c r="AA18" s="133">
        <f t="shared" si="16"/>
        <v>0</v>
      </c>
      <c r="AB18" s="133">
        <f t="shared" si="16"/>
        <v>0</v>
      </c>
      <c r="AC18" s="133">
        <f t="shared" si="16"/>
        <v>0</v>
      </c>
      <c r="AD18" s="133">
        <f aca="true" t="shared" si="17" ref="AD18:AO18">AC18</f>
        <v>0</v>
      </c>
      <c r="AE18" s="133">
        <f t="shared" si="17"/>
        <v>0</v>
      </c>
      <c r="AF18" s="133">
        <f t="shared" si="17"/>
        <v>0</v>
      </c>
      <c r="AG18" s="133">
        <f t="shared" si="17"/>
        <v>0</v>
      </c>
      <c r="AH18" s="133">
        <f t="shared" si="17"/>
        <v>0</v>
      </c>
      <c r="AI18" s="133">
        <f t="shared" si="17"/>
        <v>0</v>
      </c>
      <c r="AJ18" s="133">
        <f t="shared" si="17"/>
        <v>0</v>
      </c>
      <c r="AK18" s="133">
        <f t="shared" si="17"/>
        <v>0</v>
      </c>
      <c r="AL18" s="133">
        <f t="shared" si="17"/>
        <v>0</v>
      </c>
      <c r="AM18" s="133">
        <f t="shared" si="17"/>
        <v>0</v>
      </c>
      <c r="AN18" s="133">
        <f t="shared" si="17"/>
        <v>0</v>
      </c>
      <c r="AO18" s="133">
        <f t="shared" si="17"/>
        <v>0</v>
      </c>
      <c r="AP18" s="133">
        <f t="shared" si="16"/>
        <v>0</v>
      </c>
      <c r="AQ18" s="133">
        <f t="shared" si="16"/>
        <v>0</v>
      </c>
      <c r="AR18" s="133">
        <f t="shared" si="16"/>
        <v>0</v>
      </c>
      <c r="AS18" s="133">
        <f>AR18</f>
        <v>0</v>
      </c>
      <c r="AT18" s="133">
        <f>AS18</f>
        <v>0</v>
      </c>
      <c r="AU18" s="133">
        <f>AT18</f>
        <v>0</v>
      </c>
    </row>
    <row r="19" spans="1:48" ht="25.5">
      <c r="A19" s="131" t="s">
        <v>126</v>
      </c>
      <c r="B19" s="133"/>
      <c r="C19" s="133"/>
      <c r="D19" s="133">
        <f>C19+'2-ф2'!D12-'1-Ф3'!D14-кр!C23</f>
        <v>0</v>
      </c>
      <c r="E19" s="133">
        <f>D19+'2-ф2'!E12-'1-Ф3'!E14-кр!D23</f>
        <v>0</v>
      </c>
      <c r="F19" s="133">
        <f>E19+'2-ф2'!F12-'1-Ф3'!F14-кр!E23</f>
        <v>0</v>
      </c>
      <c r="G19" s="133">
        <f>F19+'2-ф2'!G12-'1-Ф3'!G14-кр!F23</f>
        <v>0</v>
      </c>
      <c r="H19" s="133">
        <f>G19+'2-ф2'!H12-'1-Ф3'!H14-кр!G23</f>
        <v>0</v>
      </c>
      <c r="I19" s="133">
        <f>H19+'2-ф2'!I12-'1-Ф3'!I14-кр!H23</f>
        <v>0</v>
      </c>
      <c r="J19" s="133">
        <f>I19+'2-ф2'!J12-'1-Ф3'!J14-кр!I23</f>
        <v>0</v>
      </c>
      <c r="K19" s="133">
        <f>J19+'2-ф2'!K12-'1-Ф3'!K14-кр!J23</f>
        <v>0</v>
      </c>
      <c r="L19" s="133">
        <f>K19+'2-ф2'!L12-'1-Ф3'!L14-кр!K23</f>
        <v>410.55840700000005</v>
      </c>
      <c r="M19" s="133">
        <f>L19+'2-ф2'!M12-'1-Ф3'!M14-кр!L23</f>
        <v>941.4861890000002</v>
      </c>
      <c r="N19" s="133">
        <f>M19+'2-ф2'!N12-'1-Ф3'!N14-кр!M23</f>
        <v>2047.2650660000004</v>
      </c>
      <c r="O19" s="133">
        <f>N19+'2-ф2'!O12-'1-Ф3'!O14-кр!N23</f>
        <v>3504.7893393333343</v>
      </c>
      <c r="P19" s="133">
        <f>O19</f>
        <v>3504.7893393333343</v>
      </c>
      <c r="Q19" s="133">
        <f>P19+'2-ф2'!Q12-'1-Ф3'!Q14-кр!P23</f>
        <v>4962.313612666668</v>
      </c>
      <c r="R19" s="133">
        <f>Q19+'2-ф2'!R12-'1-Ф3'!R14-кр!Q23</f>
        <v>6419.837886000001</v>
      </c>
      <c r="S19" s="133">
        <f>R19+'2-ф2'!S12-'1-Ф3'!S14-кр!R23</f>
        <v>7877.362159333335</v>
      </c>
      <c r="T19" s="133">
        <f>S19+'2-ф2'!T12-'1-Ф3'!T14-кр!S23</f>
        <v>9334.886432666668</v>
      </c>
      <c r="U19" s="133">
        <f>T19+'2-ф2'!U12-'1-Ф3'!U14-кр!T23</f>
        <v>7097.385043000002</v>
      </c>
      <c r="V19" s="133">
        <f>U19+'2-ф2'!V12-'1-Ф3'!V14-кр!U23</f>
        <v>7061.026534333336</v>
      </c>
      <c r="W19" s="133">
        <f>V19+'2-ф2'!W12-'1-Ф3'!W14-кр!V23</f>
        <v>2813.9631706666687</v>
      </c>
      <c r="X19" s="133">
        <f>W19+'2-ф2'!X12-'1-Ф3'!X14-кр!W23</f>
        <v>0</v>
      </c>
      <c r="Y19" s="133">
        <f>X19+'2-ф2'!Y12-'1-Ф3'!Y14-кр!X23</f>
        <v>0</v>
      </c>
      <c r="Z19" s="133">
        <f>Y19+'2-ф2'!Z12-'1-Ф3'!Z14-кр!Y23</f>
        <v>0</v>
      </c>
      <c r="AA19" s="133">
        <f>Z19+'2-ф2'!AA12-'1-Ф3'!AA14-кр!Z23</f>
        <v>0</v>
      </c>
      <c r="AB19" s="133">
        <f>AA19+'2-ф2'!AB12-'1-Ф3'!AB14-кр!AA23</f>
        <v>0</v>
      </c>
      <c r="AC19" s="133">
        <f>AB19</f>
        <v>0</v>
      </c>
      <c r="AD19" s="133">
        <f>AC19+'2-ф2'!AD12-'1-Ф3'!AD14-кр!AC23</f>
        <v>0</v>
      </c>
      <c r="AE19" s="133">
        <f>AD19+'2-ф2'!AE12-'1-Ф3'!AE14-кр!AD23</f>
        <v>0</v>
      </c>
      <c r="AF19" s="133">
        <f>AE19+'2-ф2'!AF12-'1-Ф3'!AF14-кр!AE23</f>
        <v>0</v>
      </c>
      <c r="AG19" s="133">
        <f>AF19+'2-ф2'!AG12-'1-Ф3'!AG14-кр!AF23</f>
        <v>0</v>
      </c>
      <c r="AH19" s="133">
        <f>AG19+'2-ф2'!AH12-'1-Ф3'!AH14-кр!AG23</f>
        <v>0</v>
      </c>
      <c r="AI19" s="133">
        <f>AH19+'2-ф2'!AI12-'1-Ф3'!AI14-кр!AH23</f>
        <v>0</v>
      </c>
      <c r="AJ19" s="133">
        <f>AI19+'2-ф2'!AJ12-'1-Ф3'!AJ14-кр!AI23</f>
        <v>0</v>
      </c>
      <c r="AK19" s="133">
        <f>AJ19+'2-ф2'!AK12-'1-Ф3'!AK14-кр!AJ23</f>
        <v>0</v>
      </c>
      <c r="AL19" s="133">
        <f>AK19+'2-ф2'!AL12-'1-Ф3'!AL14-кр!AK23</f>
        <v>0</v>
      </c>
      <c r="AM19" s="133">
        <f>AL19+'2-ф2'!AM12-'1-Ф3'!AM14-кр!AL23</f>
        <v>0</v>
      </c>
      <c r="AN19" s="133">
        <f>AM19+'2-ф2'!AN12-'1-Ф3'!AN14-кр!AM23</f>
        <v>0</v>
      </c>
      <c r="AO19" s="133">
        <f>AN19+'2-ф2'!AO12-'1-Ф3'!AO14-кр!AN23</f>
        <v>0</v>
      </c>
      <c r="AP19" s="133">
        <f>AO19</f>
        <v>0</v>
      </c>
      <c r="AQ19" s="133">
        <f>AP19+'2-ф2'!AQ12-'1-Ф3'!AQ14</f>
        <v>0</v>
      </c>
      <c r="AR19" s="133">
        <f>AQ19+'2-ф2'!AR12-'1-Ф3'!AR14</f>
        <v>0</v>
      </c>
      <c r="AS19" s="133">
        <f>AR19+'2-ф2'!AS12-'1-Ф3'!AS14</f>
        <v>0</v>
      </c>
      <c r="AT19" s="133">
        <f>AS19+'2-ф2'!AT12-'1-Ф3'!AT14</f>
        <v>0</v>
      </c>
      <c r="AU19" s="133">
        <f>AT19+'2-ф2'!AU12-'1-Ф3'!AU14</f>
        <v>0</v>
      </c>
      <c r="AV19" s="120"/>
    </row>
    <row r="20" spans="1:47" ht="12.75">
      <c r="A20" s="131" t="s">
        <v>128</v>
      </c>
      <c r="B20" s="133"/>
      <c r="C20" s="133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33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33">
        <f>AB20</f>
        <v>0</v>
      </c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33">
        <f>AO20</f>
        <v>0</v>
      </c>
      <c r="AQ20" s="133"/>
      <c r="AR20" s="133"/>
      <c r="AS20" s="133"/>
      <c r="AT20" s="133"/>
      <c r="AU20" s="133"/>
    </row>
    <row r="21" spans="1:47" ht="15" customHeight="1">
      <c r="A21" s="126" t="s">
        <v>129</v>
      </c>
      <c r="B21" s="127"/>
      <c r="C21" s="127">
        <f aca="true" t="shared" si="18" ref="C21:AT21">SUM(C22:C23)</f>
        <v>0</v>
      </c>
      <c r="D21" s="127">
        <f t="shared" si="18"/>
        <v>0</v>
      </c>
      <c r="E21" s="127">
        <f t="shared" si="18"/>
        <v>0</v>
      </c>
      <c r="F21" s="127">
        <f t="shared" si="18"/>
        <v>0</v>
      </c>
      <c r="G21" s="127">
        <f t="shared" si="18"/>
        <v>0</v>
      </c>
      <c r="H21" s="127">
        <f t="shared" si="18"/>
        <v>0</v>
      </c>
      <c r="I21" s="127">
        <f t="shared" si="18"/>
        <v>0</v>
      </c>
      <c r="J21" s="127">
        <f t="shared" si="18"/>
        <v>0</v>
      </c>
      <c r="K21" s="127">
        <f t="shared" si="18"/>
        <v>70381.4412</v>
      </c>
      <c r="L21" s="127">
        <f t="shared" si="18"/>
        <v>91016.1912</v>
      </c>
      <c r="M21" s="127">
        <f t="shared" si="18"/>
        <v>189562.0932</v>
      </c>
      <c r="N21" s="127">
        <f t="shared" si="18"/>
        <v>249861.304</v>
      </c>
      <c r="O21" s="127">
        <f t="shared" si="18"/>
        <v>249861.304</v>
      </c>
      <c r="P21" s="127">
        <f t="shared" si="18"/>
        <v>249861.304</v>
      </c>
      <c r="Q21" s="127">
        <f t="shared" si="18"/>
        <v>249861.304</v>
      </c>
      <c r="R21" s="127">
        <f t="shared" si="18"/>
        <v>249861.304</v>
      </c>
      <c r="S21" s="127">
        <f t="shared" si="18"/>
        <v>249861.304</v>
      </c>
      <c r="T21" s="127">
        <f t="shared" si="18"/>
        <v>249861.304</v>
      </c>
      <c r="U21" s="127">
        <f t="shared" si="18"/>
        <v>253556.329663</v>
      </c>
      <c r="V21" s="127">
        <f t="shared" si="18"/>
        <v>253849.48747362668</v>
      </c>
      <c r="W21" s="127">
        <f t="shared" si="18"/>
        <v>257996.70684379071</v>
      </c>
      <c r="X21" s="127">
        <f t="shared" si="18"/>
        <v>259023.62074206874</v>
      </c>
      <c r="Y21" s="127">
        <f t="shared" si="18"/>
        <v>256195.37556569863</v>
      </c>
      <c r="Z21" s="127">
        <f t="shared" si="18"/>
        <v>253350.63229246635</v>
      </c>
      <c r="AA21" s="127">
        <f t="shared" si="18"/>
        <v>250489.29468347356</v>
      </c>
      <c r="AB21" s="127">
        <f t="shared" si="18"/>
        <v>247611.2659384283</v>
      </c>
      <c r="AC21" s="127">
        <f t="shared" si="18"/>
        <v>247611.2659384283</v>
      </c>
      <c r="AD21" s="127">
        <f aca="true" t="shared" si="19" ref="AD21:AP21">SUM(AD22:AD23)</f>
        <v>244716.44869237024</v>
      </c>
      <c r="AE21" s="127">
        <f t="shared" si="19"/>
        <v>241804.74501237686</v>
      </c>
      <c r="AF21" s="127">
        <f t="shared" si="19"/>
        <v>238876.05639425025</v>
      </c>
      <c r="AG21" s="127">
        <f t="shared" si="19"/>
        <v>235930.2837591845</v>
      </c>
      <c r="AH21" s="127">
        <f t="shared" si="19"/>
        <v>232967.32745041422</v>
      </c>
      <c r="AI21" s="127">
        <f t="shared" si="19"/>
        <v>229987.0872298428</v>
      </c>
      <c r="AJ21" s="127">
        <f t="shared" si="19"/>
        <v>226989.46227465133</v>
      </c>
      <c r="AK21" s="127">
        <f t="shared" si="19"/>
        <v>223974.35117388796</v>
      </c>
      <c r="AL21" s="127">
        <f t="shared" si="19"/>
        <v>220941.65192503677</v>
      </c>
      <c r="AM21" s="127">
        <f t="shared" si="19"/>
        <v>217891.26193056727</v>
      </c>
      <c r="AN21" s="127">
        <f t="shared" si="19"/>
        <v>214823.0779944634</v>
      </c>
      <c r="AO21" s="127">
        <f t="shared" si="19"/>
        <v>211736.99631873224</v>
      </c>
      <c r="AP21" s="127">
        <f t="shared" si="19"/>
        <v>211736.99631873224</v>
      </c>
      <c r="AQ21" s="127">
        <f t="shared" si="18"/>
        <v>173269.37284757</v>
      </c>
      <c r="AR21" s="127">
        <f t="shared" si="18"/>
        <v>132020.9217653302</v>
      </c>
      <c r="AS21" s="127">
        <f t="shared" si="18"/>
        <v>87790.61681916079</v>
      </c>
      <c r="AT21" s="127">
        <f t="shared" si="18"/>
        <v>40362.89955213684</v>
      </c>
      <c r="AU21" s="127">
        <f>SUM(AU22:AU23)</f>
        <v>9.255813893105369E-10</v>
      </c>
    </row>
    <row r="22" spans="1:47" ht="12.75">
      <c r="A22" s="131" t="s">
        <v>127</v>
      </c>
      <c r="B22" s="133"/>
      <c r="C22" s="127"/>
      <c r="D22" s="133">
        <f>кр!C27</f>
        <v>0</v>
      </c>
      <c r="E22" s="133">
        <f>кр!D27</f>
        <v>0</v>
      </c>
      <c r="F22" s="133">
        <f>кр!E27</f>
        <v>0</v>
      </c>
      <c r="G22" s="133">
        <f>кр!F27</f>
        <v>0</v>
      </c>
      <c r="H22" s="133">
        <f>кр!G27</f>
        <v>0</v>
      </c>
      <c r="I22" s="133">
        <f>кр!H27</f>
        <v>0</v>
      </c>
      <c r="J22" s="133">
        <f>кр!I27</f>
        <v>0</v>
      </c>
      <c r="K22" s="133">
        <f>кр!J27</f>
        <v>70381.4412</v>
      </c>
      <c r="L22" s="133">
        <f>кр!K27</f>
        <v>91016.1912</v>
      </c>
      <c r="M22" s="133">
        <f>кр!L27</f>
        <v>189562.0932</v>
      </c>
      <c r="N22" s="133">
        <f>кр!M27</f>
        <v>249861.304</v>
      </c>
      <c r="O22" s="133">
        <f>кр!N27</f>
        <v>249861.304</v>
      </c>
      <c r="P22" s="133">
        <f>кр!O27</f>
        <v>249861.304</v>
      </c>
      <c r="Q22" s="133">
        <f>кр!P27</f>
        <v>249861.304</v>
      </c>
      <c r="R22" s="133">
        <f>кр!Q27</f>
        <v>249861.304</v>
      </c>
      <c r="S22" s="133">
        <f>кр!R27</f>
        <v>249861.304</v>
      </c>
      <c r="T22" s="133">
        <f>кр!S27</f>
        <v>249861.304</v>
      </c>
      <c r="U22" s="133">
        <f>кр!T27</f>
        <v>253556.329663</v>
      </c>
      <c r="V22" s="133">
        <f>кр!U27</f>
        <v>253849.48747362668</v>
      </c>
      <c r="W22" s="133">
        <f>кр!V27</f>
        <v>257996.70684379071</v>
      </c>
      <c r="X22" s="133">
        <f>кр!W27</f>
        <v>259023.62074206874</v>
      </c>
      <c r="Y22" s="133">
        <f>кр!X27</f>
        <v>256195.37556569863</v>
      </c>
      <c r="Z22" s="133">
        <f>кр!Y27</f>
        <v>253350.63229246635</v>
      </c>
      <c r="AA22" s="133">
        <f>кр!Z27</f>
        <v>250489.29468347356</v>
      </c>
      <c r="AB22" s="133">
        <f>кр!AA27</f>
        <v>247611.2659384283</v>
      </c>
      <c r="AC22" s="133">
        <f>кр!AB27</f>
        <v>247611.2659384283</v>
      </c>
      <c r="AD22" s="133">
        <f>кр!AC27</f>
        <v>244716.44869237024</v>
      </c>
      <c r="AE22" s="133">
        <f>кр!AD27</f>
        <v>241804.74501237686</v>
      </c>
      <c r="AF22" s="133">
        <f>кр!AE27</f>
        <v>238876.05639425025</v>
      </c>
      <c r="AG22" s="133">
        <f>кр!AF27</f>
        <v>235930.2837591845</v>
      </c>
      <c r="AH22" s="133">
        <f>кр!AG27</f>
        <v>232967.32745041422</v>
      </c>
      <c r="AI22" s="133">
        <f>кр!AH27</f>
        <v>229987.0872298428</v>
      </c>
      <c r="AJ22" s="133">
        <f>кр!AI27</f>
        <v>226989.46227465133</v>
      </c>
      <c r="AK22" s="133">
        <f>кр!AJ27</f>
        <v>223974.35117388796</v>
      </c>
      <c r="AL22" s="133">
        <f>кр!AK27</f>
        <v>220941.65192503677</v>
      </c>
      <c r="AM22" s="133">
        <f>кр!AL27</f>
        <v>217891.26193056727</v>
      </c>
      <c r="AN22" s="133">
        <f>кр!AM27</f>
        <v>214823.0779944634</v>
      </c>
      <c r="AO22" s="133">
        <f>кр!AN27</f>
        <v>211736.99631873224</v>
      </c>
      <c r="AP22" s="133">
        <f>кр!AO27</f>
        <v>211736.99631873224</v>
      </c>
      <c r="AQ22" s="133">
        <f>кр!BB27</f>
        <v>173269.37284757</v>
      </c>
      <c r="AR22" s="133">
        <f>кр!BO27</f>
        <v>132020.9217653302</v>
      </c>
      <c r="AS22" s="133">
        <f>кр!CB27</f>
        <v>87790.61681916079</v>
      </c>
      <c r="AT22" s="133">
        <f>кр!CO27</f>
        <v>40362.89955213684</v>
      </c>
      <c r="AU22" s="133">
        <f>кр!DB27</f>
        <v>9.255813893105369E-10</v>
      </c>
    </row>
    <row r="23" spans="1:47" ht="15" customHeight="1" hidden="1">
      <c r="A23" s="131" t="s">
        <v>130</v>
      </c>
      <c r="B23" s="133"/>
      <c r="C23" s="133"/>
      <c r="D23" s="133">
        <f>C23</f>
        <v>0</v>
      </c>
      <c r="E23" s="133">
        <f>D23</f>
        <v>0</v>
      </c>
      <c r="F23" s="133">
        <f aca="true" t="shared" si="20" ref="F23:AU23">E23</f>
        <v>0</v>
      </c>
      <c r="G23" s="133">
        <f t="shared" si="20"/>
        <v>0</v>
      </c>
      <c r="H23" s="133">
        <f t="shared" si="20"/>
        <v>0</v>
      </c>
      <c r="I23" s="133">
        <f t="shared" si="20"/>
        <v>0</v>
      </c>
      <c r="J23" s="133">
        <f t="shared" si="20"/>
        <v>0</v>
      </c>
      <c r="K23" s="133">
        <f t="shared" si="20"/>
        <v>0</v>
      </c>
      <c r="L23" s="133">
        <f t="shared" si="20"/>
        <v>0</v>
      </c>
      <c r="M23" s="133">
        <f t="shared" si="20"/>
        <v>0</v>
      </c>
      <c r="N23" s="133">
        <f t="shared" si="20"/>
        <v>0</v>
      </c>
      <c r="O23" s="133">
        <f t="shared" si="20"/>
        <v>0</v>
      </c>
      <c r="P23" s="133">
        <f t="shared" si="20"/>
        <v>0</v>
      </c>
      <c r="Q23" s="133">
        <f t="shared" si="20"/>
        <v>0</v>
      </c>
      <c r="R23" s="133">
        <f t="shared" si="20"/>
        <v>0</v>
      </c>
      <c r="S23" s="133">
        <f t="shared" si="20"/>
        <v>0</v>
      </c>
      <c r="T23" s="133">
        <f t="shared" si="20"/>
        <v>0</v>
      </c>
      <c r="U23" s="133">
        <f t="shared" si="20"/>
        <v>0</v>
      </c>
      <c r="V23" s="133">
        <f t="shared" si="20"/>
        <v>0</v>
      </c>
      <c r="W23" s="133">
        <f t="shared" si="20"/>
        <v>0</v>
      </c>
      <c r="X23" s="133">
        <f t="shared" si="20"/>
        <v>0</v>
      </c>
      <c r="Y23" s="133">
        <f t="shared" si="20"/>
        <v>0</v>
      </c>
      <c r="Z23" s="133">
        <f t="shared" si="20"/>
        <v>0</v>
      </c>
      <c r="AA23" s="133">
        <f t="shared" si="20"/>
        <v>0</v>
      </c>
      <c r="AB23" s="133">
        <f t="shared" si="20"/>
        <v>0</v>
      </c>
      <c r="AC23" s="127">
        <f aca="true" t="shared" si="21" ref="AC23:AP23">AB23</f>
        <v>0</v>
      </c>
      <c r="AD23" s="133">
        <f t="shared" si="21"/>
        <v>0</v>
      </c>
      <c r="AE23" s="133">
        <f t="shared" si="21"/>
        <v>0</v>
      </c>
      <c r="AF23" s="133">
        <f t="shared" si="21"/>
        <v>0</v>
      </c>
      <c r="AG23" s="133">
        <f t="shared" si="21"/>
        <v>0</v>
      </c>
      <c r="AH23" s="133">
        <f t="shared" si="21"/>
        <v>0</v>
      </c>
      <c r="AI23" s="133">
        <f t="shared" si="21"/>
        <v>0</v>
      </c>
      <c r="AJ23" s="133">
        <f t="shared" si="21"/>
        <v>0</v>
      </c>
      <c r="AK23" s="133">
        <f t="shared" si="21"/>
        <v>0</v>
      </c>
      <c r="AL23" s="133">
        <f t="shared" si="21"/>
        <v>0</v>
      </c>
      <c r="AM23" s="133">
        <f t="shared" si="21"/>
        <v>0</v>
      </c>
      <c r="AN23" s="133">
        <f t="shared" si="21"/>
        <v>0</v>
      </c>
      <c r="AO23" s="133">
        <f t="shared" si="21"/>
        <v>0</v>
      </c>
      <c r="AP23" s="127">
        <f t="shared" si="21"/>
        <v>0</v>
      </c>
      <c r="AQ23" s="133">
        <f t="shared" si="20"/>
        <v>0</v>
      </c>
      <c r="AR23" s="133">
        <f t="shared" si="20"/>
        <v>0</v>
      </c>
      <c r="AS23" s="133">
        <f t="shared" si="20"/>
        <v>0</v>
      </c>
      <c r="AT23" s="133">
        <f t="shared" si="20"/>
        <v>0</v>
      </c>
      <c r="AU23" s="133">
        <f t="shared" si="20"/>
        <v>0</v>
      </c>
    </row>
    <row r="24" spans="1:47" s="130" customFormat="1" ht="15" customHeight="1">
      <c r="A24" s="126" t="s">
        <v>131</v>
      </c>
      <c r="B24" s="127"/>
      <c r="C24" s="127">
        <f aca="true" t="shared" si="22" ref="C24:AT24">SUM(C25:C26)</f>
        <v>0</v>
      </c>
      <c r="D24" s="127">
        <f t="shared" si="22"/>
        <v>0</v>
      </c>
      <c r="E24" s="127">
        <f t="shared" si="22"/>
        <v>0</v>
      </c>
      <c r="F24" s="127">
        <f t="shared" si="22"/>
        <v>0</v>
      </c>
      <c r="G24" s="127">
        <f t="shared" si="22"/>
        <v>0</v>
      </c>
      <c r="H24" s="127">
        <f t="shared" si="22"/>
        <v>0</v>
      </c>
      <c r="I24" s="127">
        <f t="shared" si="22"/>
        <v>0</v>
      </c>
      <c r="J24" s="127">
        <f t="shared" si="22"/>
        <v>0</v>
      </c>
      <c r="K24" s="127">
        <f t="shared" si="22"/>
        <v>0</v>
      </c>
      <c r="L24" s="127">
        <f t="shared" si="22"/>
        <v>-410.55840700000005</v>
      </c>
      <c r="M24" s="127">
        <f t="shared" si="22"/>
        <v>-941.4861890000002</v>
      </c>
      <c r="N24" s="127">
        <f t="shared" si="22"/>
        <v>-2047.2650660000004</v>
      </c>
      <c r="O24" s="127">
        <f t="shared" si="22"/>
        <v>47575.896688442655</v>
      </c>
      <c r="P24" s="127">
        <f t="shared" si="22"/>
        <v>47575.896688442655</v>
      </c>
      <c r="Q24" s="127">
        <f t="shared" si="22"/>
        <v>70128.39675928303</v>
      </c>
      <c r="R24" s="127">
        <f t="shared" si="22"/>
        <v>92680.89683012341</v>
      </c>
      <c r="S24" s="127">
        <f t="shared" si="22"/>
        <v>105282.47849772357</v>
      </c>
      <c r="T24" s="127">
        <f t="shared" si="22"/>
        <v>108098.44240902735</v>
      </c>
      <c r="U24" s="127">
        <f t="shared" si="22"/>
        <v>114906.39320088703</v>
      </c>
      <c r="V24" s="127">
        <f t="shared" si="22"/>
        <v>127269.00793377032</v>
      </c>
      <c r="W24" s="127">
        <f t="shared" si="22"/>
        <v>140148.46588808545</v>
      </c>
      <c r="X24" s="127">
        <f t="shared" si="22"/>
        <v>150613.37802367297</v>
      </c>
      <c r="Y24" s="127">
        <f t="shared" si="22"/>
        <v>157613.77593125342</v>
      </c>
      <c r="Z24" s="127">
        <f t="shared" si="22"/>
        <v>161966.0477292863</v>
      </c>
      <c r="AA24" s="127">
        <f t="shared" si="22"/>
        <v>161008.94582185312</v>
      </c>
      <c r="AB24" s="127">
        <f t="shared" si="22"/>
        <v>157403.87223622465</v>
      </c>
      <c r="AC24" s="127">
        <f t="shared" si="22"/>
        <v>157403.87223622465</v>
      </c>
      <c r="AD24" s="127">
        <f aca="true" t="shared" si="23" ref="AD24:AP24">SUM(AD25:AD26)</f>
        <v>154838.50826797713</v>
      </c>
      <c r="AE24" s="127">
        <f t="shared" si="23"/>
        <v>158236.2492784756</v>
      </c>
      <c r="AF24" s="127">
        <f t="shared" si="23"/>
        <v>163630.77685001327</v>
      </c>
      <c r="AG24" s="127">
        <f t="shared" si="23"/>
        <v>173005.36885616733</v>
      </c>
      <c r="AH24" s="127">
        <f t="shared" si="23"/>
        <v>188343.30363288277</v>
      </c>
      <c r="AI24" s="127">
        <f t="shared" si="23"/>
        <v>209644.66137063684</v>
      </c>
      <c r="AJ24" s="127">
        <f t="shared" si="23"/>
        <v>234926.32411715205</v>
      </c>
      <c r="AK24" s="127">
        <f t="shared" si="23"/>
        <v>256255.57855905968</v>
      </c>
      <c r="AL24" s="127">
        <f t="shared" si="23"/>
        <v>269666.1090773073</v>
      </c>
      <c r="AM24" s="127">
        <f t="shared" si="23"/>
        <v>279124.3949709843</v>
      </c>
      <c r="AN24" s="127">
        <f t="shared" si="23"/>
        <v>280664.12157583865</v>
      </c>
      <c r="AO24" s="127">
        <f t="shared" si="23"/>
        <v>278251.76915132964</v>
      </c>
      <c r="AP24" s="127">
        <f t="shared" si="23"/>
        <v>278251.76915132964</v>
      </c>
      <c r="AQ24" s="127">
        <f t="shared" si="22"/>
        <v>415339.1496783446</v>
      </c>
      <c r="AR24" s="127">
        <f t="shared" si="22"/>
        <v>567452.6493572237</v>
      </c>
      <c r="AS24" s="127">
        <f t="shared" si="22"/>
        <v>734637.9148863906</v>
      </c>
      <c r="AT24" s="127">
        <f t="shared" si="22"/>
        <v>916946.4600123343</v>
      </c>
      <c r="AU24" s="127">
        <f>SUM(AU25:AU26)</f>
        <v>1114388.8476907369</v>
      </c>
    </row>
    <row r="25" spans="1:47" ht="15" customHeight="1">
      <c r="A25" s="131" t="s">
        <v>132</v>
      </c>
      <c r="B25" s="127"/>
      <c r="C25" s="133"/>
      <c r="D25" s="133">
        <f>C25+'1-Ф3'!D27</f>
        <v>0</v>
      </c>
      <c r="E25" s="133">
        <f>D25+'1-Ф3'!E27</f>
        <v>0</v>
      </c>
      <c r="F25" s="133">
        <f>E25+'1-Ф3'!F27</f>
        <v>0</v>
      </c>
      <c r="G25" s="133">
        <f>F25+'1-Ф3'!G27</f>
        <v>0</v>
      </c>
      <c r="H25" s="133">
        <f>G25+'1-Ф3'!H27</f>
        <v>0</v>
      </c>
      <c r="I25" s="133">
        <f>H25+'1-Ф3'!I27</f>
        <v>0</v>
      </c>
      <c r="J25" s="133">
        <f>I25+'1-Ф3'!J27</f>
        <v>0</v>
      </c>
      <c r="K25" s="133">
        <f>J25+'1-Ф3'!K27</f>
        <v>0</v>
      </c>
      <c r="L25" s="133">
        <f>K25+'1-Ф3'!L27</f>
        <v>0</v>
      </c>
      <c r="M25" s="133">
        <f>L25+'1-Ф3'!M27</f>
        <v>0</v>
      </c>
      <c r="N25" s="133">
        <f>M25+'1-Ф3'!N27</f>
        <v>0</v>
      </c>
      <c r="O25" s="133">
        <f>N25+'1-Ф3'!O27</f>
        <v>51080.68602777599</v>
      </c>
      <c r="P25" s="133">
        <f>O25</f>
        <v>51080.68602777599</v>
      </c>
      <c r="Q25" s="133">
        <f>P25+'1-Ф3'!Q27</f>
        <v>81462.5205354616</v>
      </c>
      <c r="R25" s="133">
        <f>Q25+'1-Ф3'!R27</f>
        <v>111844.35504314722</v>
      </c>
      <c r="S25" s="133">
        <f>R25+'1-Ф3'!S27</f>
        <v>124291.29738648084</v>
      </c>
      <c r="T25" s="133">
        <f>S25+'1-Ф3'!T27</f>
        <v>124291.29738648084</v>
      </c>
      <c r="U25" s="133">
        <f>T25+'1-Ф3'!U27</f>
        <v>124291.29738648084</v>
      </c>
      <c r="V25" s="133">
        <f>U25+'1-Ф3'!V27</f>
        <v>124291.29738648084</v>
      </c>
      <c r="W25" s="133">
        <f>V25+'1-Ф3'!W27</f>
        <v>124291.29738648084</v>
      </c>
      <c r="X25" s="133">
        <f>W25+'1-Ф3'!X27</f>
        <v>124291.29738648084</v>
      </c>
      <c r="Y25" s="133">
        <f>X25+'1-Ф3'!Y27</f>
        <v>124291.29738648084</v>
      </c>
      <c r="Z25" s="133">
        <f>Y25+'1-Ф3'!Z27</f>
        <v>124291.29738648084</v>
      </c>
      <c r="AA25" s="133">
        <f>Z25+'1-Ф3'!AA27</f>
        <v>124291.29738648084</v>
      </c>
      <c r="AB25" s="133">
        <f>AA25+'1-Ф3'!AB27</f>
        <v>124291.29738648084</v>
      </c>
      <c r="AC25" s="133">
        <f>AB25</f>
        <v>124291.29738648084</v>
      </c>
      <c r="AD25" s="133">
        <f>AC25+'1-Ф3'!AD27</f>
        <v>124291.29738648084</v>
      </c>
      <c r="AE25" s="133">
        <f>AD25+'1-Ф3'!AE27</f>
        <v>124291.29738648084</v>
      </c>
      <c r="AF25" s="133">
        <f>AE25+'1-Ф3'!AF27</f>
        <v>124291.29738648084</v>
      </c>
      <c r="AG25" s="133">
        <f>AF25+'1-Ф3'!AG27</f>
        <v>124291.29738648084</v>
      </c>
      <c r="AH25" s="133">
        <f>AG25+'1-Ф3'!AH27</f>
        <v>124291.29738648084</v>
      </c>
      <c r="AI25" s="133">
        <f>AH25+'1-Ф3'!AI27</f>
        <v>124291.29738648084</v>
      </c>
      <c r="AJ25" s="133">
        <f>AI25+'1-Ф3'!AJ27</f>
        <v>124291.29738648084</v>
      </c>
      <c r="AK25" s="133">
        <f>AJ25+'1-Ф3'!AK27</f>
        <v>124291.29738648084</v>
      </c>
      <c r="AL25" s="133">
        <f>AK25+'1-Ф3'!AL27</f>
        <v>124291.29738648084</v>
      </c>
      <c r="AM25" s="133">
        <f>AL25+'1-Ф3'!AM27</f>
        <v>124291.29738648084</v>
      </c>
      <c r="AN25" s="133">
        <f>AM25+'1-Ф3'!AN27</f>
        <v>124291.29738648084</v>
      </c>
      <c r="AO25" s="133">
        <f>AN25+'1-Ф3'!AO27</f>
        <v>124291.29738648084</v>
      </c>
      <c r="AP25" s="133">
        <f>AO25</f>
        <v>124291.29738648084</v>
      </c>
      <c r="AQ25" s="133">
        <f>AP25+'1-Ф3'!AQ27</f>
        <v>124291.29738648084</v>
      </c>
      <c r="AR25" s="133">
        <f>AQ25+'1-Ф3'!AR27</f>
        <v>124291.29738648084</v>
      </c>
      <c r="AS25" s="133">
        <f>AR25+'1-Ф3'!AS27</f>
        <v>124291.29738648084</v>
      </c>
      <c r="AT25" s="133">
        <f>AS25+'1-Ф3'!AT27</f>
        <v>124291.29738648084</v>
      </c>
      <c r="AU25" s="133">
        <f>AT25+'1-Ф3'!AU27</f>
        <v>124291.29738648084</v>
      </c>
    </row>
    <row r="26" spans="1:47" ht="15" customHeight="1">
      <c r="A26" s="131" t="s">
        <v>133</v>
      </c>
      <c r="B26" s="127"/>
      <c r="C26" s="133"/>
      <c r="D26" s="133">
        <f>'2-ф2'!D16</f>
        <v>0</v>
      </c>
      <c r="E26" s="133">
        <f>'2-ф2'!E16</f>
        <v>0</v>
      </c>
      <c r="F26" s="133">
        <f>'2-ф2'!F16</f>
        <v>0</v>
      </c>
      <c r="G26" s="133">
        <f>'2-ф2'!G16</f>
        <v>0</v>
      </c>
      <c r="H26" s="133">
        <f>'2-ф2'!H16</f>
        <v>0</v>
      </c>
      <c r="I26" s="133">
        <f>'2-ф2'!I16</f>
        <v>0</v>
      </c>
      <c r="J26" s="133">
        <f>'2-ф2'!J16</f>
        <v>0</v>
      </c>
      <c r="K26" s="133">
        <f>'2-ф2'!K16</f>
        <v>0</v>
      </c>
      <c r="L26" s="133">
        <f>'2-ф2'!L16</f>
        <v>-410.55840700000005</v>
      </c>
      <c r="M26" s="133">
        <f>'2-ф2'!M16</f>
        <v>-941.4861890000002</v>
      </c>
      <c r="N26" s="133">
        <f>'2-ф2'!N16</f>
        <v>-2047.2650660000004</v>
      </c>
      <c r="O26" s="133">
        <f>'2-ф2'!O16</f>
        <v>-3504.7893393333343</v>
      </c>
      <c r="P26" s="133">
        <f>'2-ф2'!P16</f>
        <v>-3504.7893393333343</v>
      </c>
      <c r="Q26" s="133">
        <f>'2-ф2'!Q16</f>
        <v>-11334.123776178574</v>
      </c>
      <c r="R26" s="133">
        <f>'2-ф2'!R16</f>
        <v>-19163.458213023812</v>
      </c>
      <c r="S26" s="133">
        <f>'2-ф2'!S16</f>
        <v>-19008.81888875728</v>
      </c>
      <c r="T26" s="133">
        <f>'2-ф2'!T16</f>
        <v>-16192.854977453488</v>
      </c>
      <c r="U26" s="133">
        <f>'2-ф2'!U16</f>
        <v>-9384.90418559381</v>
      </c>
      <c r="V26" s="133">
        <f>'2-ф2'!V16</f>
        <v>2977.710547289482</v>
      </c>
      <c r="W26" s="133">
        <f>'2-ф2'!W16</f>
        <v>15857.16850160462</v>
      </c>
      <c r="X26" s="133">
        <f>'2-ф2'!X16</f>
        <v>26322.080637192128</v>
      </c>
      <c r="Y26" s="133">
        <f>'2-ф2'!Y16</f>
        <v>33322.478544772566</v>
      </c>
      <c r="Z26" s="133">
        <f>'2-ф2'!Z16</f>
        <v>37674.75034280548</v>
      </c>
      <c r="AA26" s="133">
        <f>'2-ф2'!AA16</f>
        <v>36717.64843537229</v>
      </c>
      <c r="AB26" s="133">
        <f>'2-ф2'!AB16</f>
        <v>33112.57484974381</v>
      </c>
      <c r="AC26" s="133">
        <f>'2-ф2'!AC16</f>
        <v>33112.57484974381</v>
      </c>
      <c r="AD26" s="133">
        <f>'2-ф2'!AD16</f>
        <v>30547.21088149629</v>
      </c>
      <c r="AE26" s="133">
        <f>'2-ф2'!AE16</f>
        <v>33944.95189199475</v>
      </c>
      <c r="AF26" s="133">
        <f>'2-ф2'!AF16</f>
        <v>39339.47946353242</v>
      </c>
      <c r="AG26" s="133">
        <f>'2-ф2'!AG16</f>
        <v>48714.071469686496</v>
      </c>
      <c r="AH26" s="133">
        <f>'2-ф2'!AH16</f>
        <v>64052.00624640192</v>
      </c>
      <c r="AI26" s="133">
        <f>'2-ф2'!AI16</f>
        <v>85353.36398415599</v>
      </c>
      <c r="AJ26" s="133">
        <f>'2-ф2'!AJ16</f>
        <v>110635.0267306712</v>
      </c>
      <c r="AK26" s="133">
        <f>'2-ф2'!AK16</f>
        <v>131964.28117257883</v>
      </c>
      <c r="AL26" s="133">
        <f>'2-ф2'!AL16</f>
        <v>145374.8116908264</v>
      </c>
      <c r="AM26" s="133">
        <f>'2-ф2'!AM16</f>
        <v>154833.09758450347</v>
      </c>
      <c r="AN26" s="133">
        <f>'2-ф2'!AN16</f>
        <v>156372.82418935778</v>
      </c>
      <c r="AO26" s="133">
        <f>'2-ф2'!AO16</f>
        <v>153960.47176484877</v>
      </c>
      <c r="AP26" s="133">
        <f>'2-ф2'!AP16</f>
        <v>153960.47176484877</v>
      </c>
      <c r="AQ26" s="133">
        <f>'2-ф2'!AQ16</f>
        <v>291047.85229186376</v>
      </c>
      <c r="AR26" s="133">
        <f>'2-ф2'!AR16</f>
        <v>443161.3519707428</v>
      </c>
      <c r="AS26" s="133">
        <f>'2-ф2'!AS16</f>
        <v>610346.6174999097</v>
      </c>
      <c r="AT26" s="133">
        <f>'2-ф2'!AT16</f>
        <v>792655.1626258534</v>
      </c>
      <c r="AU26" s="133">
        <f>'2-ф2'!AU16</f>
        <v>990097.5503042561</v>
      </c>
    </row>
    <row r="28" spans="1:47" ht="12.75">
      <c r="A28" s="136" t="s">
        <v>134</v>
      </c>
      <c r="B28" s="137"/>
      <c r="C28" s="138">
        <f aca="true" t="shared" si="24" ref="C28:AT28">C5-C16</f>
        <v>0</v>
      </c>
      <c r="D28" s="264">
        <f t="shared" si="24"/>
        <v>0</v>
      </c>
      <c r="E28" s="264">
        <f t="shared" si="24"/>
        <v>0</v>
      </c>
      <c r="F28" s="264">
        <f t="shared" si="24"/>
        <v>0</v>
      </c>
      <c r="G28" s="264">
        <f t="shared" si="24"/>
        <v>0</v>
      </c>
      <c r="H28" s="264">
        <f t="shared" si="24"/>
        <v>0</v>
      </c>
      <c r="I28" s="264">
        <f t="shared" si="24"/>
        <v>0</v>
      </c>
      <c r="J28" s="264">
        <f t="shared" si="24"/>
        <v>0</v>
      </c>
      <c r="K28" s="264">
        <f t="shared" si="24"/>
        <v>0</v>
      </c>
      <c r="L28" s="264">
        <f aca="true" t="shared" si="25" ref="L28:Q28">L5-L16</f>
        <v>0</v>
      </c>
      <c r="M28" s="264">
        <f t="shared" si="25"/>
        <v>0</v>
      </c>
      <c r="N28" s="264">
        <f t="shared" si="25"/>
        <v>0</v>
      </c>
      <c r="O28" s="264">
        <f t="shared" si="25"/>
        <v>0</v>
      </c>
      <c r="P28" s="264">
        <f t="shared" si="25"/>
        <v>0</v>
      </c>
      <c r="Q28" s="264">
        <f t="shared" si="25"/>
        <v>0</v>
      </c>
      <c r="R28" s="264">
        <f t="shared" si="24"/>
        <v>0</v>
      </c>
      <c r="S28" s="264">
        <f t="shared" si="24"/>
        <v>0</v>
      </c>
      <c r="T28" s="264">
        <f t="shared" si="24"/>
        <v>0</v>
      </c>
      <c r="U28" s="264">
        <f t="shared" si="24"/>
        <v>0</v>
      </c>
      <c r="V28" s="264">
        <f t="shared" si="24"/>
        <v>0</v>
      </c>
      <c r="W28" s="264">
        <f t="shared" si="24"/>
        <v>0</v>
      </c>
      <c r="X28" s="264">
        <f t="shared" si="24"/>
        <v>0</v>
      </c>
      <c r="Y28" s="264">
        <f t="shared" si="24"/>
        <v>0</v>
      </c>
      <c r="Z28" s="264">
        <f t="shared" si="24"/>
        <v>0</v>
      </c>
      <c r="AA28" s="264">
        <f t="shared" si="24"/>
        <v>0</v>
      </c>
      <c r="AB28" s="264">
        <f t="shared" si="24"/>
        <v>0</v>
      </c>
      <c r="AC28" s="264">
        <f t="shared" si="24"/>
        <v>0</v>
      </c>
      <c r="AD28" s="264">
        <f t="shared" si="24"/>
        <v>0</v>
      </c>
      <c r="AE28" s="264">
        <f t="shared" si="24"/>
        <v>0</v>
      </c>
      <c r="AF28" s="264">
        <f aca="true" t="shared" si="26" ref="AF28:AP28">AF5-AF16</f>
        <v>0</v>
      </c>
      <c r="AG28" s="264">
        <f t="shared" si="26"/>
        <v>0</v>
      </c>
      <c r="AH28" s="264">
        <f t="shared" si="26"/>
        <v>0</v>
      </c>
      <c r="AI28" s="264">
        <f t="shared" si="26"/>
        <v>0</v>
      </c>
      <c r="AJ28" s="264">
        <f t="shared" si="26"/>
        <v>0</v>
      </c>
      <c r="AK28" s="264">
        <f t="shared" si="26"/>
        <v>0</v>
      </c>
      <c r="AL28" s="264">
        <f t="shared" si="26"/>
        <v>0</v>
      </c>
      <c r="AM28" s="264">
        <f t="shared" si="26"/>
        <v>0</v>
      </c>
      <c r="AN28" s="264">
        <f t="shared" si="26"/>
        <v>0</v>
      </c>
      <c r="AO28" s="264">
        <f t="shared" si="26"/>
        <v>0</v>
      </c>
      <c r="AP28" s="264">
        <f t="shared" si="26"/>
        <v>0</v>
      </c>
      <c r="AQ28" s="264">
        <f t="shared" si="24"/>
        <v>0</v>
      </c>
      <c r="AR28" s="264">
        <f t="shared" si="24"/>
        <v>0</v>
      </c>
      <c r="AS28" s="264">
        <f t="shared" si="24"/>
        <v>0</v>
      </c>
      <c r="AT28" s="264">
        <f t="shared" si="24"/>
        <v>0</v>
      </c>
      <c r="AU28" s="264">
        <f>AU5-AU16</f>
        <v>0</v>
      </c>
    </row>
    <row r="29" spans="11:47" ht="12.75" hidden="1"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/>
      <c r="AP29" s="304"/>
      <c r="AQ29" s="304"/>
      <c r="AR29" s="304"/>
      <c r="AS29" s="304"/>
      <c r="AT29" s="304"/>
      <c r="AU29" s="304"/>
    </row>
    <row r="30" spans="1:47" ht="12.75" hidden="1">
      <c r="A30" s="119" t="s">
        <v>133</v>
      </c>
      <c r="K30" s="304"/>
      <c r="L30" s="304" t="e">
        <f>'[45]ф2'!L32</f>
        <v>#REF!</v>
      </c>
      <c r="M30" s="304" t="e">
        <f>'[45]ф2'!M32</f>
        <v>#REF!</v>
      </c>
      <c r="N30" s="304" t="e">
        <f>'[45]ф2'!N32</f>
        <v>#REF!</v>
      </c>
      <c r="O30" s="304" t="e">
        <f>'[45]ф2'!O32</f>
        <v>#REF!</v>
      </c>
      <c r="P30" s="304" t="e">
        <f>'[45]ф2'!P32</f>
        <v>#REF!</v>
      </c>
      <c r="Q30" s="304">
        <f>'[45]ф2'!Q32</f>
        <v>109.48954266069855</v>
      </c>
      <c r="R30" s="304">
        <f>'[45]ф2'!R32</f>
        <v>109.48954266069855</v>
      </c>
      <c r="S30" s="304">
        <f>'[45]ф2'!S32</f>
        <v>108.45296951069854</v>
      </c>
      <c r="T30" s="304">
        <f>'[45]ф2'!T32</f>
        <v>106.37982321069852</v>
      </c>
      <c r="U30" s="304">
        <f>'[45]ф2'!U32</f>
        <v>103.27010376069849</v>
      </c>
      <c r="V30" s="304">
        <f>'[45]ф2'!V32</f>
        <v>103.27010376069849</v>
      </c>
      <c r="W30" s="304">
        <f>'[45]ф2'!W32</f>
        <v>103.27010376069849</v>
      </c>
      <c r="X30" s="304">
        <f>'[45]ф2'!X32</f>
        <v>99.20125340855881</v>
      </c>
      <c r="Y30" s="304">
        <f>'[45]ф2'!Y32</f>
        <v>99.20125340855881</v>
      </c>
      <c r="Z30" s="304">
        <f>'[45]ф2'!Z32</f>
        <v>99.20125340855881</v>
      </c>
      <c r="AA30" s="304">
        <f>'[45]ф2'!AA32</f>
        <v>99.20125340855881</v>
      </c>
      <c r="AB30" s="304">
        <f>'[45]ф2'!AB32</f>
        <v>82.61608300855879</v>
      </c>
      <c r="AC30" s="304">
        <f>AC26-P26</f>
        <v>36617.36418907715</v>
      </c>
      <c r="AD30" s="304" t="e">
        <f>'[45]ф2'!AD32</f>
        <v>#REF!</v>
      </c>
      <c r="AE30" s="304" t="e">
        <f>'[45]ф2'!AE32</f>
        <v>#REF!</v>
      </c>
      <c r="AF30" s="304" t="e">
        <f>'[45]ф2'!AF32</f>
        <v>#REF!</v>
      </c>
      <c r="AG30" s="304" t="e">
        <f>'[45]ф2'!AG32</f>
        <v>#REF!</v>
      </c>
      <c r="AH30" s="304" t="e">
        <f>'[45]ф2'!AH32</f>
        <v>#REF!</v>
      </c>
      <c r="AI30" s="304" t="e">
        <f>'[45]ф2'!AI32</f>
        <v>#REF!</v>
      </c>
      <c r="AJ30" s="304" t="e">
        <f>'[45]ф2'!AJ32</f>
        <v>#REF!</v>
      </c>
      <c r="AK30" s="304" t="e">
        <f>'[45]ф2'!AK32</f>
        <v>#REF!</v>
      </c>
      <c r="AL30" s="304" t="e">
        <f>'[45]ф2'!AL32</f>
        <v>#REF!</v>
      </c>
      <c r="AM30" s="304" t="e">
        <f>'[45]ф2'!AM32</f>
        <v>#REF!</v>
      </c>
      <c r="AN30" s="304" t="e">
        <f>'[45]ф2'!AN32</f>
        <v>#REF!</v>
      </c>
      <c r="AO30" s="304" t="e">
        <f>'[45]ф2'!AO32</f>
        <v>#REF!</v>
      </c>
      <c r="AP30" s="304">
        <f>AP26-AC26</f>
        <v>120847.89691510497</v>
      </c>
      <c r="AQ30" s="304">
        <f>AQ26-AP26</f>
        <v>137087.380527015</v>
      </c>
      <c r="AR30" s="304">
        <f>AR26-AQ26</f>
        <v>152113.49967887904</v>
      </c>
      <c r="AS30" s="304">
        <f>AS26-AR26</f>
        <v>167185.2655291669</v>
      </c>
      <c r="AT30" s="304">
        <f>AT26-AS26</f>
        <v>182308.54512594372</v>
      </c>
      <c r="AU30" s="304">
        <f>AU26-AT26</f>
        <v>197442.3876784027</v>
      </c>
    </row>
    <row r="31" spans="1:47" ht="12.75" hidden="1">
      <c r="A31" s="119" t="s">
        <v>135</v>
      </c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>
        <f>(AC8+AC10+AC13+AC14)-(P8+P10+P13+P14)</f>
        <v>-7508.229010779443</v>
      </c>
      <c r="AD31" s="304"/>
      <c r="AE31" s="304"/>
      <c r="AF31" s="304"/>
      <c r="AG31" s="304"/>
      <c r="AH31" s="304"/>
      <c r="AI31" s="304"/>
      <c r="AJ31" s="304"/>
      <c r="AK31" s="304"/>
      <c r="AL31" s="304"/>
      <c r="AM31" s="304"/>
      <c r="AN31" s="304"/>
      <c r="AO31" s="304"/>
      <c r="AP31" s="304">
        <f>(AP8+AP10+AP13+AP14)-(AC8+AC10+AC13+AC14)</f>
        <v>-24735.555635053694</v>
      </c>
      <c r="AQ31" s="304">
        <f>(AQ8+AQ10+AQ13+AQ14)-(AP8+AP10+AP13+AP14)</f>
        <v>0</v>
      </c>
      <c r="AR31" s="304">
        <f>(AR8+AR10+AR13+AR14)-(AQ8+AQ10+AQ13+AQ14)</f>
        <v>0</v>
      </c>
      <c r="AS31" s="304">
        <f>(AS8+AS10+AS13+AS14)-(AR8+AR10+AR13+AR14)</f>
        <v>0</v>
      </c>
      <c r="AT31" s="304">
        <f>(AT8+AT10+AT13+AT14)-(AS8+AS10+AS13+AS14)</f>
        <v>0</v>
      </c>
      <c r="AU31" s="304">
        <f>(AU8+AU10+AU13+AU14)-(AT8+AT10+AT13+AT14)</f>
        <v>0</v>
      </c>
    </row>
    <row r="32" spans="1:47" ht="12.75" hidden="1">
      <c r="A32" s="119" t="s">
        <v>136</v>
      </c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>
        <f>AC9-P9</f>
        <v>64823.82298286805</v>
      </c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>
        <f>AP9-AC9</f>
        <v>0</v>
      </c>
      <c r="AQ32" s="304">
        <f>AQ9-AP9</f>
        <v>0</v>
      </c>
      <c r="AR32" s="304">
        <f>AR9-AQ9</f>
        <v>0</v>
      </c>
      <c r="AS32" s="304">
        <f>AS9-AR9</f>
        <v>0</v>
      </c>
      <c r="AT32" s="304">
        <f>AT9-AS9</f>
        <v>0</v>
      </c>
      <c r="AU32" s="304">
        <f>AU9-AT9</f>
        <v>0</v>
      </c>
    </row>
    <row r="33" spans="1:47" ht="12.75" hidden="1">
      <c r="A33" s="119" t="s">
        <v>137</v>
      </c>
      <c r="K33" s="304"/>
      <c r="L33" s="304"/>
      <c r="M33" s="304"/>
      <c r="N33" s="304"/>
      <c r="O33" s="304"/>
      <c r="P33" s="304"/>
      <c r="Q33" s="304"/>
      <c r="R33" s="304"/>
      <c r="S33" s="304"/>
      <c r="T33" s="304"/>
      <c r="U33" s="304"/>
      <c r="V33" s="304"/>
      <c r="W33" s="304"/>
      <c r="X33" s="304"/>
      <c r="Y33" s="304"/>
      <c r="Z33" s="304"/>
      <c r="AA33" s="304"/>
      <c r="AB33" s="304"/>
      <c r="AC33" s="304">
        <f>(AC21+AC17)-(P21+P17)</f>
        <v>-5754.827400905051</v>
      </c>
      <c r="AD33" s="304"/>
      <c r="AE33" s="304"/>
      <c r="AF33" s="304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>
        <f>(AP21+AP17)-(AC21+AC17)</f>
        <v>-35874.269619696046</v>
      </c>
      <c r="AQ33" s="304">
        <f>(AQ21+AQ17)-(AP21+AP17)</f>
        <v>-38467.62347116225</v>
      </c>
      <c r="AR33" s="304">
        <f>(AR21+AR17)-(AQ21+AQ17)</f>
        <v>-41248.4510822398</v>
      </c>
      <c r="AS33" s="304">
        <f>(AS21+AS17)-(AR21+AR17)</f>
        <v>-44230.3049461694</v>
      </c>
      <c r="AT33" s="304">
        <f>(AT21+AT17)-(AS21+AS17)</f>
        <v>-47427.717267023945</v>
      </c>
      <c r="AU33" s="304">
        <f>(AU21+AU17)-(AT21+AT17)</f>
        <v>-40362.89955213592</v>
      </c>
    </row>
    <row r="34" spans="1:47" ht="12.75" hidden="1">
      <c r="A34" s="119" t="s">
        <v>138</v>
      </c>
      <c r="K34" s="304"/>
      <c r="L34" s="304">
        <f aca="true" t="shared" si="27" ref="L34:Q34">L31+L32+L33</f>
        <v>0</v>
      </c>
      <c r="M34" s="304">
        <f t="shared" si="27"/>
        <v>0</v>
      </c>
      <c r="N34" s="304">
        <f t="shared" si="27"/>
        <v>0</v>
      </c>
      <c r="O34" s="304">
        <f t="shared" si="27"/>
        <v>0</v>
      </c>
      <c r="P34" s="304">
        <f t="shared" si="27"/>
        <v>0</v>
      </c>
      <c r="Q34" s="304">
        <f t="shared" si="27"/>
        <v>0</v>
      </c>
      <c r="R34" s="304">
        <f aca="true" t="shared" si="28" ref="R34:AB34">R31+R32+R33</f>
        <v>0</v>
      </c>
      <c r="S34" s="304">
        <f t="shared" si="28"/>
        <v>0</v>
      </c>
      <c r="T34" s="304">
        <f t="shared" si="28"/>
        <v>0</v>
      </c>
      <c r="U34" s="304">
        <f t="shared" si="28"/>
        <v>0</v>
      </c>
      <c r="V34" s="304">
        <f t="shared" si="28"/>
        <v>0</v>
      </c>
      <c r="W34" s="304">
        <f t="shared" si="28"/>
        <v>0</v>
      </c>
      <c r="X34" s="304">
        <f t="shared" si="28"/>
        <v>0</v>
      </c>
      <c r="Y34" s="304">
        <f t="shared" si="28"/>
        <v>0</v>
      </c>
      <c r="Z34" s="304">
        <f t="shared" si="28"/>
        <v>0</v>
      </c>
      <c r="AA34" s="304">
        <f t="shared" si="28"/>
        <v>0</v>
      </c>
      <c r="AB34" s="304">
        <f t="shared" si="28"/>
        <v>0</v>
      </c>
      <c r="AC34" s="304">
        <f>-AC31+AC32+AC33</f>
        <v>66577.22459274244</v>
      </c>
      <c r="AD34" s="304">
        <f aca="true" t="shared" si="29" ref="AD34:AO34">AD31+AD32+AD33</f>
        <v>0</v>
      </c>
      <c r="AE34" s="304">
        <f t="shared" si="29"/>
        <v>0</v>
      </c>
      <c r="AF34" s="304">
        <f t="shared" si="29"/>
        <v>0</v>
      </c>
      <c r="AG34" s="304">
        <f t="shared" si="29"/>
        <v>0</v>
      </c>
      <c r="AH34" s="304">
        <f t="shared" si="29"/>
        <v>0</v>
      </c>
      <c r="AI34" s="304">
        <f t="shared" si="29"/>
        <v>0</v>
      </c>
      <c r="AJ34" s="304">
        <f t="shared" si="29"/>
        <v>0</v>
      </c>
      <c r="AK34" s="304">
        <f t="shared" si="29"/>
        <v>0</v>
      </c>
      <c r="AL34" s="304">
        <f t="shared" si="29"/>
        <v>0</v>
      </c>
      <c r="AM34" s="304">
        <f t="shared" si="29"/>
        <v>0</v>
      </c>
      <c r="AN34" s="304">
        <f t="shared" si="29"/>
        <v>0</v>
      </c>
      <c r="AO34" s="304">
        <f t="shared" si="29"/>
        <v>0</v>
      </c>
      <c r="AP34" s="304">
        <f aca="true" t="shared" si="30" ref="AP34:AU34">-AP31+AP32+AP33</f>
        <v>-11138.713984642352</v>
      </c>
      <c r="AQ34" s="304">
        <f t="shared" si="30"/>
        <v>-38467.62347116225</v>
      </c>
      <c r="AR34" s="304">
        <f t="shared" si="30"/>
        <v>-41248.4510822398</v>
      </c>
      <c r="AS34" s="304">
        <f t="shared" si="30"/>
        <v>-44230.3049461694</v>
      </c>
      <c r="AT34" s="304">
        <f t="shared" si="30"/>
        <v>-47427.717267023945</v>
      </c>
      <c r="AU34" s="304">
        <f t="shared" si="30"/>
        <v>-40362.89955213592</v>
      </c>
    </row>
    <row r="35" spans="1:47" ht="12.75" hidden="1">
      <c r="A35" s="119" t="s">
        <v>77</v>
      </c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>
        <f>'2-ф2'!AC11</f>
        <v>19763.24142857143</v>
      </c>
      <c r="AD35" s="304"/>
      <c r="AE35" s="304"/>
      <c r="AF35" s="304"/>
      <c r="AG35" s="304"/>
      <c r="AH35" s="304"/>
      <c r="AI35" s="304"/>
      <c r="AJ35" s="304"/>
      <c r="AK35" s="304"/>
      <c r="AL35" s="304"/>
      <c r="AM35" s="304"/>
      <c r="AN35" s="304"/>
      <c r="AO35" s="304"/>
      <c r="AP35" s="304">
        <f>'2-ф2'!AP11</f>
        <v>19763.24142857143</v>
      </c>
      <c r="AQ35" s="304">
        <f>'2-ф2'!AQ11</f>
        <v>19763.24142857143</v>
      </c>
      <c r="AR35" s="304">
        <f>'2-ф2'!AR11</f>
        <v>19763.24142857143</v>
      </c>
      <c r="AS35" s="304">
        <f>'2-ф2'!AS11</f>
        <v>19763.24142857143</v>
      </c>
      <c r="AT35" s="304">
        <f>'2-ф2'!AT11</f>
        <v>19763.24142857143</v>
      </c>
      <c r="AU35" s="304">
        <f>'2-ф2'!AU11</f>
        <v>19763.24142857143</v>
      </c>
    </row>
    <row r="36" spans="1:47" ht="12.75" hidden="1">
      <c r="A36" s="119" t="s">
        <v>139</v>
      </c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>
        <f>-'1-Ф3'!AC20</f>
        <v>0</v>
      </c>
      <c r="AD36" s="304"/>
      <c r="AE36" s="304"/>
      <c r="AF36" s="304"/>
      <c r="AG36" s="304"/>
      <c r="AH36" s="304"/>
      <c r="AI36" s="304"/>
      <c r="AJ36" s="304"/>
      <c r="AK36" s="304"/>
      <c r="AL36" s="304"/>
      <c r="AM36" s="304"/>
      <c r="AN36" s="304"/>
      <c r="AO36" s="304"/>
      <c r="AP36" s="304">
        <f>-'1-Ф3'!AP20</f>
        <v>0</v>
      </c>
      <c r="AQ36" s="304">
        <f>-'1-Ф3'!AQ20</f>
        <v>0</v>
      </c>
      <c r="AR36" s="304">
        <f>-'1-Ф3'!AR20</f>
        <v>0</v>
      </c>
      <c r="AS36" s="304">
        <f>-'1-Ф3'!AS20</f>
        <v>0</v>
      </c>
      <c r="AT36" s="304">
        <f>-'1-Ф3'!AT20</f>
        <v>0</v>
      </c>
      <c r="AU36" s="304">
        <f>-'1-Ф3'!AU20</f>
        <v>0</v>
      </c>
    </row>
    <row r="37" spans="1:47" ht="12.75" hidden="1">
      <c r="A37" s="119" t="s">
        <v>140</v>
      </c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>
        <f>AC30+AC34+AC35+AC36</f>
        <v>122957.83021039102</v>
      </c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>
        <f aca="true" t="shared" si="31" ref="AP37:AU37">AP30+AP34+AP35+AP36</f>
        <v>129472.42435903405</v>
      </c>
      <c r="AQ37" s="304">
        <f t="shared" si="31"/>
        <v>118382.99848442417</v>
      </c>
      <c r="AR37" s="304">
        <f t="shared" si="31"/>
        <v>130628.29002521068</v>
      </c>
      <c r="AS37" s="304">
        <f t="shared" si="31"/>
        <v>142718.20201156894</v>
      </c>
      <c r="AT37" s="304">
        <f t="shared" si="31"/>
        <v>154644.0692874912</v>
      </c>
      <c r="AU37" s="304">
        <f t="shared" si="31"/>
        <v>176842.72955483824</v>
      </c>
    </row>
    <row r="38" spans="11:47" ht="12.75" hidden="1"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</row>
    <row r="39" spans="1:47" ht="12.75" hidden="1">
      <c r="A39" s="119" t="s">
        <v>146</v>
      </c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>
        <f>'1-Ф3'!AC33</f>
        <v>66520.79560335966</v>
      </c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>
        <f>'1-Ф3'!AP33</f>
        <v>129472.42435903399</v>
      </c>
      <c r="AQ39" s="304">
        <f>'1-Ф3'!AQ33</f>
        <v>118382.99848442424</v>
      </c>
      <c r="AR39" s="304">
        <f>'1-Ф3'!AR33</f>
        <v>130628.29002521065</v>
      </c>
      <c r="AS39" s="304">
        <f>'1-Ф3'!AS33</f>
        <v>142718.20201156894</v>
      </c>
      <c r="AT39" s="304">
        <f>'1-Ф3'!AT33</f>
        <v>154644.0692874912</v>
      </c>
      <c r="AU39" s="304">
        <f>'1-Ф3'!AU33</f>
        <v>176842.7295548381</v>
      </c>
    </row>
    <row r="40" spans="1:47" ht="12.75" hidden="1">
      <c r="A40" s="136" t="s">
        <v>134</v>
      </c>
      <c r="B40" s="137"/>
      <c r="C40" s="138"/>
      <c r="D40" s="139"/>
      <c r="E40" s="139"/>
      <c r="F40" s="139"/>
      <c r="G40" s="139"/>
      <c r="H40" s="139"/>
      <c r="I40" s="139"/>
      <c r="J40" s="139"/>
      <c r="K40" s="264"/>
      <c r="L40" s="264">
        <f aca="true" t="shared" si="32" ref="L40:Q40">L39-L37</f>
        <v>0</v>
      </c>
      <c r="M40" s="264">
        <f t="shared" si="32"/>
        <v>0</v>
      </c>
      <c r="N40" s="264">
        <f t="shared" si="32"/>
        <v>0</v>
      </c>
      <c r="O40" s="264">
        <f t="shared" si="32"/>
        <v>0</v>
      </c>
      <c r="P40" s="264">
        <f t="shared" si="32"/>
        <v>0</v>
      </c>
      <c r="Q40" s="264">
        <f t="shared" si="32"/>
        <v>0</v>
      </c>
      <c r="R40" s="264">
        <f aca="true" t="shared" si="33" ref="R40:AB40">R39-R37</f>
        <v>0</v>
      </c>
      <c r="S40" s="264">
        <f t="shared" si="33"/>
        <v>0</v>
      </c>
      <c r="T40" s="264">
        <f t="shared" si="33"/>
        <v>0</v>
      </c>
      <c r="U40" s="264">
        <f t="shared" si="33"/>
        <v>0</v>
      </c>
      <c r="V40" s="264">
        <f t="shared" si="33"/>
        <v>0</v>
      </c>
      <c r="W40" s="264">
        <f t="shared" si="33"/>
        <v>0</v>
      </c>
      <c r="X40" s="264">
        <f t="shared" si="33"/>
        <v>0</v>
      </c>
      <c r="Y40" s="264">
        <f t="shared" si="33"/>
        <v>0</v>
      </c>
      <c r="Z40" s="264">
        <f t="shared" si="33"/>
        <v>0</v>
      </c>
      <c r="AA40" s="264">
        <f t="shared" si="33"/>
        <v>0</v>
      </c>
      <c r="AB40" s="264">
        <f t="shared" si="33"/>
        <v>0</v>
      </c>
      <c r="AC40" s="264">
        <f aca="true" t="shared" si="34" ref="AC40:AT40">AC39-AC37</f>
        <v>-56437.03460703137</v>
      </c>
      <c r="AD40" s="264">
        <f t="shared" si="34"/>
        <v>0</v>
      </c>
      <c r="AE40" s="264">
        <f t="shared" si="34"/>
        <v>0</v>
      </c>
      <c r="AF40" s="264">
        <f t="shared" si="34"/>
        <v>0</v>
      </c>
      <c r="AG40" s="264">
        <f t="shared" si="34"/>
        <v>0</v>
      </c>
      <c r="AH40" s="264">
        <f t="shared" si="34"/>
        <v>0</v>
      </c>
      <c r="AI40" s="264">
        <f t="shared" si="34"/>
        <v>0</v>
      </c>
      <c r="AJ40" s="264">
        <f t="shared" si="34"/>
        <v>0</v>
      </c>
      <c r="AK40" s="264">
        <f t="shared" si="34"/>
        <v>0</v>
      </c>
      <c r="AL40" s="264">
        <f t="shared" si="34"/>
        <v>0</v>
      </c>
      <c r="AM40" s="264">
        <f t="shared" si="34"/>
        <v>0</v>
      </c>
      <c r="AN40" s="264">
        <f t="shared" si="34"/>
        <v>0</v>
      </c>
      <c r="AO40" s="264">
        <f t="shared" si="34"/>
        <v>0</v>
      </c>
      <c r="AP40" s="264">
        <f t="shared" si="34"/>
        <v>0</v>
      </c>
      <c r="AQ40" s="264">
        <f t="shared" si="34"/>
        <v>0</v>
      </c>
      <c r="AR40" s="264">
        <f t="shared" si="34"/>
        <v>0</v>
      </c>
      <c r="AS40" s="264">
        <f t="shared" si="34"/>
        <v>0</v>
      </c>
      <c r="AT40" s="264">
        <f t="shared" si="34"/>
        <v>0</v>
      </c>
      <c r="AU40" s="264">
        <f>AU39-AU37</f>
        <v>0</v>
      </c>
    </row>
    <row r="41" spans="11:47" ht="12.75">
      <c r="K41" s="304">
        <f>K28-J28</f>
        <v>0</v>
      </c>
      <c r="L41" s="304">
        <f aca="true" t="shared" si="35" ref="L41:Q41">L28-K28</f>
        <v>0</v>
      </c>
      <c r="M41" s="304">
        <f t="shared" si="35"/>
        <v>0</v>
      </c>
      <c r="N41" s="304">
        <f t="shared" si="35"/>
        <v>0</v>
      </c>
      <c r="O41" s="304">
        <f t="shared" si="35"/>
        <v>0</v>
      </c>
      <c r="P41" s="304">
        <f t="shared" si="35"/>
        <v>0</v>
      </c>
      <c r="Q41" s="304">
        <f t="shared" si="35"/>
        <v>0</v>
      </c>
      <c r="R41" s="304">
        <f>R28-Q28</f>
        <v>0</v>
      </c>
      <c r="S41" s="304">
        <f aca="true" t="shared" si="36" ref="S41:AU41">S28-R28</f>
        <v>0</v>
      </c>
      <c r="T41" s="304">
        <f t="shared" si="36"/>
        <v>0</v>
      </c>
      <c r="U41" s="304">
        <f t="shared" si="36"/>
        <v>0</v>
      </c>
      <c r="V41" s="304">
        <f t="shared" si="36"/>
        <v>0</v>
      </c>
      <c r="W41" s="304">
        <f t="shared" si="36"/>
        <v>0</v>
      </c>
      <c r="X41" s="304">
        <f t="shared" si="36"/>
        <v>0</v>
      </c>
      <c r="Y41" s="304">
        <f t="shared" si="36"/>
        <v>0</v>
      </c>
      <c r="Z41" s="304">
        <f t="shared" si="36"/>
        <v>0</v>
      </c>
      <c r="AA41" s="304">
        <f t="shared" si="36"/>
        <v>0</v>
      </c>
      <c r="AB41" s="304">
        <f t="shared" si="36"/>
        <v>0</v>
      </c>
      <c r="AC41" s="304">
        <f>AC28-AB28</f>
        <v>0</v>
      </c>
      <c r="AD41" s="304">
        <f>AD28-AC28</f>
        <v>0</v>
      </c>
      <c r="AE41" s="304">
        <f>AE28-AD28</f>
        <v>0</v>
      </c>
      <c r="AF41" s="304">
        <f>AF28-AE28</f>
        <v>0</v>
      </c>
      <c r="AG41" s="304">
        <f t="shared" si="36"/>
        <v>0</v>
      </c>
      <c r="AH41" s="304">
        <f t="shared" si="36"/>
        <v>0</v>
      </c>
      <c r="AI41" s="304">
        <f t="shared" si="36"/>
        <v>0</v>
      </c>
      <c r="AJ41" s="304">
        <f t="shared" si="36"/>
        <v>0</v>
      </c>
      <c r="AK41" s="304">
        <f t="shared" si="36"/>
        <v>0</v>
      </c>
      <c r="AL41" s="304">
        <f t="shared" si="36"/>
        <v>0</v>
      </c>
      <c r="AM41" s="304">
        <f t="shared" si="36"/>
        <v>0</v>
      </c>
      <c r="AN41" s="304">
        <f t="shared" si="36"/>
        <v>0</v>
      </c>
      <c r="AO41" s="304">
        <f t="shared" si="36"/>
        <v>0</v>
      </c>
      <c r="AP41" s="304">
        <f t="shared" si="36"/>
        <v>0</v>
      </c>
      <c r="AQ41" s="304">
        <f t="shared" si="36"/>
        <v>0</v>
      </c>
      <c r="AR41" s="304">
        <f t="shared" si="36"/>
        <v>0</v>
      </c>
      <c r="AS41" s="304">
        <f t="shared" si="36"/>
        <v>0</v>
      </c>
      <c r="AT41" s="304">
        <f t="shared" si="36"/>
        <v>0</v>
      </c>
      <c r="AU41" s="304">
        <f t="shared" si="36"/>
        <v>0</v>
      </c>
    </row>
  </sheetData>
  <sheetProtection/>
  <mergeCells count="5">
    <mergeCell ref="A3:A4"/>
    <mergeCell ref="B3:B4"/>
    <mergeCell ref="D3:P3"/>
    <mergeCell ref="Q3:AC3"/>
    <mergeCell ref="AD3:AP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7"/>
  <sheetViews>
    <sheetView showGridLines="0" zoomScalePageLayoutView="0" workbookViewId="0" topLeftCell="A1">
      <pane ySplit="3" topLeftCell="A20" activePane="bottomLeft" state="frozen"/>
      <selection pane="topLeft" activeCell="A34" sqref="A34"/>
      <selection pane="bottomLeft" activeCell="C32" sqref="C32"/>
    </sheetView>
  </sheetViews>
  <sheetFormatPr defaultColWidth="9.00390625" defaultRowHeight="12.75"/>
  <cols>
    <col min="1" max="1" width="31.25390625" style="78" customWidth="1"/>
    <col min="2" max="2" width="16.125" style="78" customWidth="1"/>
    <col min="3" max="3" width="10.75390625" style="78" customWidth="1"/>
    <col min="4" max="4" width="5.375" style="78" customWidth="1"/>
    <col min="5" max="5" width="7.00390625" style="78" bestFit="1" customWidth="1"/>
    <col min="6" max="6" width="5.875" style="78" customWidth="1"/>
    <col min="7" max="8" width="5.75390625" style="78" bestFit="1" customWidth="1"/>
    <col min="9" max="9" width="6.375" style="78" bestFit="1" customWidth="1"/>
    <col min="10" max="10" width="8.75390625" style="78" bestFit="1" customWidth="1"/>
    <col min="11" max="11" width="7.625" style="78" bestFit="1" customWidth="1"/>
    <col min="12" max="12" width="19.00390625" style="78" customWidth="1"/>
    <col min="13" max="13" width="8.00390625" style="78" bestFit="1" customWidth="1"/>
    <col min="14" max="14" width="14.375" style="78" customWidth="1"/>
    <col min="15" max="16384" width="9.125" style="78" customWidth="1"/>
  </cols>
  <sheetData>
    <row r="1" spans="1:3" ht="15.75" customHeight="1">
      <c r="A1" s="341" t="s">
        <v>39</v>
      </c>
      <c r="B1" s="341"/>
      <c r="C1" s="341"/>
    </row>
    <row r="2" spans="1:14" ht="12" customHeight="1">
      <c r="A2" s="62"/>
      <c r="N2" s="249">
        <f>'1-Ф3'!$B$2</f>
        <v>0</v>
      </c>
    </row>
    <row r="3" spans="1:14" ht="12.75">
      <c r="A3" s="79" t="s">
        <v>28</v>
      </c>
      <c r="B3" s="80" t="s">
        <v>40</v>
      </c>
      <c r="C3" s="80" t="s">
        <v>8</v>
      </c>
      <c r="N3" s="249">
        <f>'Осн.пок-ли'!B6</f>
        <v>124291.29738648084</v>
      </c>
    </row>
    <row r="4" ht="12.75">
      <c r="A4" s="62" t="s">
        <v>148</v>
      </c>
    </row>
    <row r="5" spans="1:4" ht="12.75">
      <c r="A5" s="81" t="s">
        <v>102</v>
      </c>
      <c r="B5" s="81"/>
      <c r="C5" s="234">
        <v>152.85</v>
      </c>
      <c r="D5" s="78" t="s">
        <v>322</v>
      </c>
    </row>
    <row r="6" spans="1:4" ht="12.75">
      <c r="A6" s="81" t="s">
        <v>323</v>
      </c>
      <c r="B6" s="81"/>
      <c r="C6" s="234">
        <v>25.01</v>
      </c>
      <c r="D6" s="78" t="s">
        <v>322</v>
      </c>
    </row>
    <row r="7" spans="1:4" ht="12.75">
      <c r="A7" s="81" t="s">
        <v>157</v>
      </c>
      <c r="B7" s="81"/>
      <c r="C7" s="234">
        <v>4.64</v>
      </c>
      <c r="D7" s="78" t="s">
        <v>322</v>
      </c>
    </row>
    <row r="8" spans="1:4" ht="12.75">
      <c r="A8" s="81" t="s">
        <v>73</v>
      </c>
      <c r="B8" s="81"/>
      <c r="C8" s="160">
        <f>20%*C9+C48*(1-C20)*(1-C9)</f>
        <v>0.10383595452050742</v>
      </c>
      <c r="D8" s="78" t="s">
        <v>158</v>
      </c>
    </row>
    <row r="9" spans="1:3" ht="12.75">
      <c r="A9" s="81" t="s">
        <v>209</v>
      </c>
      <c r="B9" s="81"/>
      <c r="C9" s="160">
        <f>'1-Ф3'!B27/'1-Ф3'!B26</f>
        <v>0.3321941286146348</v>
      </c>
    </row>
    <row r="10" spans="1:3" ht="12.75">
      <c r="A10" s="81" t="s">
        <v>141</v>
      </c>
      <c r="B10" s="81"/>
      <c r="C10" s="85" t="s">
        <v>59</v>
      </c>
    </row>
    <row r="11" ht="12.75">
      <c r="A11" s="62" t="s">
        <v>142</v>
      </c>
    </row>
    <row r="12" spans="1:4" ht="12.75">
      <c r="A12" s="81" t="s">
        <v>47</v>
      </c>
      <c r="B12" s="83" t="s">
        <v>42</v>
      </c>
      <c r="C12" s="84">
        <v>0.1</v>
      </c>
      <c r="D12" s="78" t="s">
        <v>216</v>
      </c>
    </row>
    <row r="13" spans="1:4" ht="12.75">
      <c r="A13" s="81" t="s">
        <v>52</v>
      </c>
      <c r="B13" s="83" t="s">
        <v>42</v>
      </c>
      <c r="C13" s="84">
        <v>0.05</v>
      </c>
      <c r="D13" s="78" t="s">
        <v>216</v>
      </c>
    </row>
    <row r="14" spans="1:4" ht="12.75">
      <c r="A14" s="81" t="s">
        <v>48</v>
      </c>
      <c r="B14" s="83" t="s">
        <v>42</v>
      </c>
      <c r="C14" s="84">
        <v>0.1</v>
      </c>
      <c r="D14" s="78" t="s">
        <v>216</v>
      </c>
    </row>
    <row r="15" spans="1:4" ht="12.75">
      <c r="A15" s="81" t="s">
        <v>50</v>
      </c>
      <c r="B15" s="83" t="s">
        <v>42</v>
      </c>
      <c r="C15" s="84">
        <v>0.11</v>
      </c>
      <c r="D15" s="78" t="s">
        <v>216</v>
      </c>
    </row>
    <row r="16" spans="1:4" ht="12.75">
      <c r="A16" s="81" t="s">
        <v>112</v>
      </c>
      <c r="B16" s="83" t="s">
        <v>59</v>
      </c>
      <c r="C16" s="86">
        <v>18.66</v>
      </c>
      <c r="D16" s="78" t="s">
        <v>216</v>
      </c>
    </row>
    <row r="17" spans="1:4" ht="12.75">
      <c r="A17" s="81" t="s">
        <v>2</v>
      </c>
      <c r="B17" s="83"/>
      <c r="C17" s="244">
        <v>0.015</v>
      </c>
      <c r="D17" s="78" t="s">
        <v>216</v>
      </c>
    </row>
    <row r="18" spans="1:4" ht="12.75">
      <c r="A18" s="81" t="s">
        <v>41</v>
      </c>
      <c r="B18" s="83" t="s">
        <v>42</v>
      </c>
      <c r="C18" s="84">
        <v>0.12</v>
      </c>
      <c r="D18" s="78" t="s">
        <v>216</v>
      </c>
    </row>
    <row r="19" spans="1:4" ht="12.75">
      <c r="A19" s="81" t="s">
        <v>60</v>
      </c>
      <c r="B19" s="81"/>
      <c r="C19" s="82">
        <v>1.12</v>
      </c>
      <c r="D19" s="78" t="s">
        <v>216</v>
      </c>
    </row>
    <row r="20" spans="1:4" ht="12.75">
      <c r="A20" s="81" t="s">
        <v>211</v>
      </c>
      <c r="B20" s="81"/>
      <c r="C20" s="84">
        <v>0.2</v>
      </c>
      <c r="D20" s="78" t="s">
        <v>216</v>
      </c>
    </row>
    <row r="21" ht="12.75">
      <c r="A21" s="62" t="s">
        <v>197</v>
      </c>
    </row>
    <row r="22" spans="1:7" ht="12.75">
      <c r="A22" s="81" t="s">
        <v>365</v>
      </c>
      <c r="B22" s="83" t="s">
        <v>333</v>
      </c>
      <c r="C22" s="145">
        <f>60</f>
        <v>60</v>
      </c>
      <c r="D22" s="279" t="s">
        <v>332</v>
      </c>
      <c r="G22" s="291" t="s">
        <v>339</v>
      </c>
    </row>
    <row r="23" spans="1:5" ht="12.75">
      <c r="A23" s="81" t="s">
        <v>210</v>
      </c>
      <c r="B23" s="83" t="s">
        <v>202</v>
      </c>
      <c r="C23" s="145">
        <v>25</v>
      </c>
      <c r="D23" s="78" t="s">
        <v>334</v>
      </c>
      <c r="E23" s="249"/>
    </row>
    <row r="24" spans="1:5" ht="12.75">
      <c r="A24" s="81" t="s">
        <v>271</v>
      </c>
      <c r="B24" s="83" t="s">
        <v>274</v>
      </c>
      <c r="C24" s="145">
        <v>1</v>
      </c>
      <c r="E24" s="249"/>
    </row>
    <row r="25" spans="1:5" ht="12.75">
      <c r="A25" s="81" t="s">
        <v>267</v>
      </c>
      <c r="B25" s="83" t="s">
        <v>268</v>
      </c>
      <c r="C25" s="145">
        <v>8</v>
      </c>
      <c r="E25" s="249"/>
    </row>
    <row r="26" ht="12.75">
      <c r="E26" s="249"/>
    </row>
    <row r="27" spans="1:3" ht="12.75">
      <c r="A27" s="156" t="s">
        <v>212</v>
      </c>
      <c r="B27" s="83"/>
      <c r="C27" s="146"/>
    </row>
    <row r="28" spans="1:4" ht="12.75">
      <c r="A28" s="81" t="str">
        <f>A22</f>
        <v>Обои</v>
      </c>
      <c r="B28" s="83" t="s">
        <v>335</v>
      </c>
      <c r="C28" s="146">
        <f>C22*60*C25*C24*C23/1000</f>
        <v>720</v>
      </c>
      <c r="D28" s="279" t="s">
        <v>233</v>
      </c>
    </row>
    <row r="29" spans="1:4" ht="12.75">
      <c r="A29" s="81" t="s">
        <v>336</v>
      </c>
      <c r="B29" s="83" t="s">
        <v>337</v>
      </c>
      <c r="C29" s="145">
        <v>10</v>
      </c>
      <c r="D29" s="305"/>
    </row>
    <row r="30" spans="1:4" ht="12.75">
      <c r="A30" s="81" t="str">
        <f>A28</f>
        <v>Обои</v>
      </c>
      <c r="B30" s="83" t="s">
        <v>338</v>
      </c>
      <c r="C30" s="146">
        <f>C28/C29</f>
        <v>72</v>
      </c>
      <c r="D30" s="305"/>
    </row>
    <row r="31" spans="1:14" ht="12.75">
      <c r="A31" s="62" t="s">
        <v>213</v>
      </c>
      <c r="N31" s="201">
        <f>'Расх перем'!E14</f>
        <v>1213.9767978928946</v>
      </c>
    </row>
    <row r="32" spans="1:14" ht="12.75">
      <c r="A32" s="81" t="str">
        <f>A28</f>
        <v>Обои</v>
      </c>
      <c r="B32" s="83" t="s">
        <v>341</v>
      </c>
      <c r="C32" s="145">
        <v>1680</v>
      </c>
      <c r="G32" s="291" t="s">
        <v>377</v>
      </c>
      <c r="N32" s="201">
        <f>'Расх перем'!E10</f>
        <v>1055.735078285714</v>
      </c>
    </row>
    <row r="33" spans="1:7" ht="12.75">
      <c r="A33" s="296" t="s">
        <v>340</v>
      </c>
      <c r="B33" s="83" t="s">
        <v>342</v>
      </c>
      <c r="C33" s="145">
        <f>45.548*1.3*$C$7</f>
        <v>274.745536</v>
      </c>
      <c r="G33" s="291" t="s">
        <v>347</v>
      </c>
    </row>
    <row r="34" spans="1:7" ht="12.75">
      <c r="A34" s="296" t="s">
        <v>356</v>
      </c>
      <c r="B34" s="83" t="s">
        <v>364</v>
      </c>
      <c r="C34" s="145">
        <f>205*1.1</f>
        <v>225.50000000000003</v>
      </c>
      <c r="G34" s="291" t="s">
        <v>363</v>
      </c>
    </row>
    <row r="35" spans="1:14" ht="12.75">
      <c r="A35" s="296" t="s">
        <v>368</v>
      </c>
      <c r="B35" s="83" t="s">
        <v>364</v>
      </c>
      <c r="C35" s="145">
        <f>75*1.1*$C$7</f>
        <v>382.79999999999995</v>
      </c>
      <c r="G35" s="291" t="s">
        <v>367</v>
      </c>
      <c r="N35" s="201">
        <f>'Расх перем'!E8</f>
        <v>598.1249999999999</v>
      </c>
    </row>
    <row r="36" spans="1:7" ht="12.75">
      <c r="A36" s="296" t="s">
        <v>352</v>
      </c>
      <c r="B36" s="83" t="s">
        <v>353</v>
      </c>
      <c r="C36" s="145">
        <f>1085/7*1.1*$C$7</f>
        <v>791.1199999999999</v>
      </c>
      <c r="G36" s="291" t="s">
        <v>354</v>
      </c>
    </row>
    <row r="37" spans="1:3" ht="12.75">
      <c r="A37" s="296" t="s">
        <v>276</v>
      </c>
      <c r="B37" s="83" t="s">
        <v>265</v>
      </c>
      <c r="C37" s="234">
        <f>12.49*$C$19</f>
        <v>13.988800000000001</v>
      </c>
    </row>
    <row r="38" ht="12.75">
      <c r="A38" s="62" t="s">
        <v>343</v>
      </c>
    </row>
    <row r="39" spans="1:4" ht="12.75">
      <c r="A39" s="81" t="s">
        <v>344</v>
      </c>
      <c r="B39" s="83" t="s">
        <v>345</v>
      </c>
      <c r="C39" s="145">
        <f>(75+105)/2</f>
        <v>90</v>
      </c>
      <c r="D39" s="78" t="s">
        <v>346</v>
      </c>
    </row>
    <row r="40" spans="1:3" ht="12.75">
      <c r="A40" s="81" t="s">
        <v>361</v>
      </c>
      <c r="B40" s="83" t="s">
        <v>362</v>
      </c>
      <c r="C40" s="145">
        <v>70</v>
      </c>
    </row>
    <row r="41" spans="1:3" ht="12.75">
      <c r="A41" s="81" t="s">
        <v>372</v>
      </c>
      <c r="B41" s="83" t="s">
        <v>373</v>
      </c>
      <c r="C41" s="146">
        <f>C29*C40/100</f>
        <v>7</v>
      </c>
    </row>
    <row r="42" spans="1:3" ht="12.75">
      <c r="A42" s="296" t="s">
        <v>349</v>
      </c>
      <c r="B42" s="83" t="s">
        <v>246</v>
      </c>
      <c r="C42" s="145">
        <f>250+8.5</f>
        <v>258.5</v>
      </c>
    </row>
    <row r="43" spans="1:4" ht="12.75">
      <c r="A43" s="296" t="s">
        <v>356</v>
      </c>
      <c r="B43" s="83" t="s">
        <v>345</v>
      </c>
      <c r="C43" s="145">
        <v>200</v>
      </c>
      <c r="D43" s="78" t="s">
        <v>357</v>
      </c>
    </row>
    <row r="44" spans="1:4" ht="12.75">
      <c r="A44" s="296" t="str">
        <f>A35</f>
        <v>Пластизольная краска</v>
      </c>
      <c r="B44" s="83" t="s">
        <v>345</v>
      </c>
      <c r="C44" s="145">
        <f>(100+400)/2</f>
        <v>250</v>
      </c>
      <c r="D44" s="78" t="s">
        <v>358</v>
      </c>
    </row>
    <row r="45" spans="1:3" ht="12.75">
      <c r="A45" s="296" t="s">
        <v>351</v>
      </c>
      <c r="B45" s="83" t="s">
        <v>355</v>
      </c>
      <c r="C45" s="245">
        <v>0.03</v>
      </c>
    </row>
    <row r="46" spans="1:3" ht="12.75">
      <c r="A46" s="296" t="s">
        <v>359</v>
      </c>
      <c r="B46" s="83" t="s">
        <v>360</v>
      </c>
      <c r="C46" s="146">
        <f>C24*C25*C23*C42</f>
        <v>51700</v>
      </c>
    </row>
    <row r="47" ht="12.75">
      <c r="A47" s="62" t="s">
        <v>149</v>
      </c>
    </row>
    <row r="48" spans="1:4" ht="12.75">
      <c r="A48" s="81" t="s">
        <v>57</v>
      </c>
      <c r="B48" s="83" t="s">
        <v>42</v>
      </c>
      <c r="C48" s="84">
        <v>0.07</v>
      </c>
      <c r="D48" s="78" t="s">
        <v>378</v>
      </c>
    </row>
    <row r="49" spans="1:3" ht="12.75">
      <c r="A49" s="81" t="s">
        <v>150</v>
      </c>
      <c r="B49" s="83" t="s">
        <v>151</v>
      </c>
      <c r="C49" s="234">
        <v>7</v>
      </c>
    </row>
    <row r="50" spans="1:3" ht="12.75">
      <c r="A50" s="81" t="s">
        <v>152</v>
      </c>
      <c r="B50" s="83" t="s">
        <v>154</v>
      </c>
      <c r="C50" s="145">
        <v>9</v>
      </c>
    </row>
    <row r="51" spans="1:3" ht="12.75">
      <c r="A51" s="81" t="s">
        <v>153</v>
      </c>
      <c r="B51" s="83" t="s">
        <v>154</v>
      </c>
      <c r="C51" s="145">
        <v>9</v>
      </c>
    </row>
    <row r="53" ht="12.75">
      <c r="A53" s="62" t="s">
        <v>247</v>
      </c>
    </row>
    <row r="54" spans="1:14" ht="12.75">
      <c r="A54" s="81" t="s">
        <v>220</v>
      </c>
      <c r="B54" s="83" t="s">
        <v>221</v>
      </c>
      <c r="C54" s="83" t="s">
        <v>222</v>
      </c>
      <c r="D54" s="83" t="s">
        <v>223</v>
      </c>
      <c r="E54" s="83" t="s">
        <v>224</v>
      </c>
      <c r="F54" s="83" t="s">
        <v>225</v>
      </c>
      <c r="G54" s="83" t="s">
        <v>226</v>
      </c>
      <c r="H54" s="83" t="s">
        <v>227</v>
      </c>
      <c r="I54" s="83" t="s">
        <v>228</v>
      </c>
      <c r="J54" s="83" t="s">
        <v>229</v>
      </c>
      <c r="K54" s="83" t="s">
        <v>230</v>
      </c>
      <c r="L54" s="83" t="s">
        <v>231</v>
      </c>
      <c r="M54" s="83" t="s">
        <v>232</v>
      </c>
      <c r="N54" s="276" t="s">
        <v>238</v>
      </c>
    </row>
    <row r="55" spans="1:14" ht="12.75">
      <c r="A55" s="81" t="s">
        <v>311</v>
      </c>
      <c r="B55" s="255">
        <v>0.02</v>
      </c>
      <c r="C55" s="255">
        <v>0.05</v>
      </c>
      <c r="D55" s="255">
        <v>0.06</v>
      </c>
      <c r="E55" s="255">
        <v>0.08</v>
      </c>
      <c r="F55" s="255">
        <v>0.11</v>
      </c>
      <c r="G55" s="255">
        <v>0.14</v>
      </c>
      <c r="H55" s="255">
        <v>0.16</v>
      </c>
      <c r="I55" s="255">
        <v>0.14</v>
      </c>
      <c r="J55" s="255">
        <v>0.1</v>
      </c>
      <c r="K55" s="255">
        <v>0.08</v>
      </c>
      <c r="L55" s="255">
        <v>0.04</v>
      </c>
      <c r="M55" s="255">
        <v>0.02</v>
      </c>
      <c r="N55" s="303">
        <f>SUM(B55:M55)</f>
        <v>1</v>
      </c>
    </row>
    <row r="56" spans="1:2" ht="12.75">
      <c r="A56" s="148"/>
      <c r="B56" s="148"/>
    </row>
    <row r="57" spans="1:2" ht="12.75">
      <c r="A57" s="148" t="s">
        <v>312</v>
      </c>
      <c r="B57" s="311">
        <f>1/12</f>
        <v>0.08333333333333333</v>
      </c>
    </row>
  </sheetData>
  <sheetProtection/>
  <mergeCells count="1">
    <mergeCell ref="A1:C1"/>
  </mergeCells>
  <hyperlinks>
    <hyperlink ref="G22" r:id="rId1" display="http://www.asia-business.ru/torg/equipment/stroy/stroy_1556.html"/>
    <hyperlink ref="G33" r:id="rId2" display="http://www.kbfg.ru/product/proizvod_oboev/vspenenih_vinilovih.php"/>
    <hyperlink ref="G36" r:id="rId3" display="http://www.zavodprogress.ru/articles/detail.html?id=50351"/>
    <hyperlink ref="G34" r:id="rId4" display="http://satu.kz/p1005202-pvc-pvh.html"/>
    <hyperlink ref="G35" r:id="rId5" display="http://t-light-krs.ru/index/bazy_dlja_izgotovlenija/0-42"/>
    <hyperlink ref="G32" r:id="rId6" display="http://satu.kz/Vinilovye-oboi-tseny.html"/>
  </hyperlinks>
  <printOptions/>
  <pageMargins left="0.66" right="0.22" top="0.5" bottom="1.32" header="0.23" footer="0.17"/>
  <pageSetup horizontalDpi="600" verticalDpi="600" orientation="landscape" paperSize="9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3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" sqref="B7"/>
    </sheetView>
  </sheetViews>
  <sheetFormatPr defaultColWidth="8.875" defaultRowHeight="12.75"/>
  <cols>
    <col min="1" max="1" width="28.125" style="78" customWidth="1"/>
    <col min="2" max="2" width="7.875" style="78" bestFit="1" customWidth="1"/>
    <col min="3" max="3" width="9.125" style="78" bestFit="1" customWidth="1"/>
    <col min="4" max="4" width="19.00390625" style="78" bestFit="1" customWidth="1"/>
    <col min="5" max="5" width="28.875" style="78" bestFit="1" customWidth="1"/>
    <col min="6" max="6" width="19.00390625" style="78" bestFit="1" customWidth="1"/>
    <col min="7" max="7" width="8.75390625" style="78" customWidth="1"/>
    <col min="8" max="8" width="19.00390625" style="78" bestFit="1" customWidth="1"/>
    <col min="9" max="9" width="7.375" style="78" bestFit="1" customWidth="1"/>
    <col min="10" max="16384" width="8.875" style="78" customWidth="1"/>
  </cols>
  <sheetData>
    <row r="1" ht="12.75">
      <c r="A1" s="62" t="s">
        <v>198</v>
      </c>
    </row>
    <row r="2" ht="12.75">
      <c r="A2" s="62"/>
    </row>
    <row r="3" ht="12.75">
      <c r="F3" s="249"/>
    </row>
    <row r="4" spans="1:5" ht="12.75">
      <c r="A4" s="348" t="s">
        <v>185</v>
      </c>
      <c r="B4" s="346" t="s">
        <v>217</v>
      </c>
      <c r="C4" s="351" t="s">
        <v>219</v>
      </c>
      <c r="D4" s="352"/>
      <c r="E4" s="346" t="s">
        <v>208</v>
      </c>
    </row>
    <row r="5" spans="1:5" ht="12.75">
      <c r="A5" s="349"/>
      <c r="B5" s="347"/>
      <c r="C5" s="251" t="s">
        <v>43</v>
      </c>
      <c r="D5" s="251" t="s">
        <v>218</v>
      </c>
      <c r="E5" s="347"/>
    </row>
    <row r="6" spans="1:5" ht="12.75">
      <c r="A6" s="81" t="str">
        <f>Исх!A22</f>
        <v>Обои</v>
      </c>
      <c r="B6" s="232" t="s">
        <v>402</v>
      </c>
      <c r="C6" s="232">
        <f>D6/Исх!$C$19</f>
        <v>1499.9999999999998</v>
      </c>
      <c r="D6" s="232">
        <f>Исх!$C$32</f>
        <v>1680</v>
      </c>
      <c r="E6" s="81" t="s">
        <v>369</v>
      </c>
    </row>
    <row r="10" spans="1:9" ht="12.75" customHeight="1">
      <c r="A10" s="348" t="s">
        <v>185</v>
      </c>
      <c r="B10" s="346" t="s">
        <v>217</v>
      </c>
      <c r="C10" s="251" t="s">
        <v>321</v>
      </c>
      <c r="D10" s="350" t="s">
        <v>317</v>
      </c>
      <c r="E10" s="350"/>
      <c r="F10" s="342" t="s">
        <v>270</v>
      </c>
      <c r="G10" s="343"/>
      <c r="H10" s="344" t="s">
        <v>251</v>
      </c>
      <c r="I10" s="345"/>
    </row>
    <row r="11" spans="1:9" ht="12.75">
      <c r="A11" s="349"/>
      <c r="B11" s="347"/>
      <c r="C11" s="251" t="s">
        <v>43</v>
      </c>
      <c r="D11" s="251" t="s">
        <v>318</v>
      </c>
      <c r="E11" s="251" t="s">
        <v>319</v>
      </c>
      <c r="F11" s="251" t="s">
        <v>318</v>
      </c>
      <c r="G11" s="251" t="s">
        <v>319</v>
      </c>
      <c r="H11" s="251" t="s">
        <v>318</v>
      </c>
      <c r="I11" s="251" t="s">
        <v>320</v>
      </c>
    </row>
    <row r="12" spans="1:9" ht="12.75">
      <c r="A12" s="81" t="str">
        <f>A6</f>
        <v>Обои</v>
      </c>
      <c r="B12" s="232" t="str">
        <f>B6</f>
        <v>рулон</v>
      </c>
      <c r="C12" s="232">
        <f>C6</f>
        <v>1499.9999999999998</v>
      </c>
      <c r="D12" s="232">
        <f>'Расх перем'!E10</f>
        <v>1055.735078285714</v>
      </c>
      <c r="E12" s="232">
        <f>'Расх перем'!E14</f>
        <v>1213.9767978928946</v>
      </c>
      <c r="F12" s="232">
        <f>C12-D12</f>
        <v>444.2649217142857</v>
      </c>
      <c r="G12" s="232">
        <f>C12-E12</f>
        <v>286.02320210710513</v>
      </c>
      <c r="H12" s="281">
        <f>F12/C12</f>
        <v>0.29617661447619054</v>
      </c>
      <c r="I12" s="281">
        <f>G12/C12</f>
        <v>0.1906821347380701</v>
      </c>
    </row>
    <row r="13" spans="1:9" ht="12.75" hidden="1">
      <c r="A13" s="81"/>
      <c r="B13" s="232"/>
      <c r="C13" s="232"/>
      <c r="D13" s="232"/>
      <c r="E13" s="232"/>
      <c r="F13" s="232"/>
      <c r="G13" s="232"/>
      <c r="H13" s="281"/>
      <c r="I13" s="281"/>
    </row>
  </sheetData>
  <sheetProtection/>
  <mergeCells count="9">
    <mergeCell ref="F10:G10"/>
    <mergeCell ref="H10:I10"/>
    <mergeCell ref="B10:B11"/>
    <mergeCell ref="A10:A11"/>
    <mergeCell ref="D10:E10"/>
    <mergeCell ref="A4:A5"/>
    <mergeCell ref="B4:B5"/>
    <mergeCell ref="C4:D4"/>
    <mergeCell ref="E4:E5"/>
  </mergeCells>
  <printOptions/>
  <pageMargins left="0.1968503937007874" right="0.1968503937007874" top="0.6299212598425197" bottom="2.125984251968504" header="0.196850393700787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outlinePr summaryBelow="0"/>
  </sheetPr>
  <dimension ref="A1:AV15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T19" sqref="AT19"/>
    </sheetView>
  </sheetViews>
  <sheetFormatPr defaultColWidth="10.125" defaultRowHeight="12.75" outlineLevelCol="1"/>
  <cols>
    <col min="1" max="1" width="30.125" style="238" customWidth="1"/>
    <col min="2" max="2" width="11.375" style="238" customWidth="1"/>
    <col min="3" max="3" width="10.125" style="238" customWidth="1"/>
    <col min="4" max="15" width="7.00390625" style="238" hidden="1" customWidth="1" outlineLevel="1"/>
    <col min="16" max="16" width="9.125" style="238" customWidth="1" collapsed="1"/>
    <col min="17" max="28" width="8.375" style="238" hidden="1" customWidth="1" outlineLevel="1"/>
    <col min="29" max="29" width="9.125" style="238" customWidth="1" collapsed="1"/>
    <col min="30" max="41" width="8.375" style="238" hidden="1" customWidth="1" outlineLevel="1"/>
    <col min="42" max="42" width="9.125" style="238" customWidth="1" collapsed="1"/>
    <col min="43" max="47" width="9.125" style="238" customWidth="1"/>
    <col min="48" max="48" width="10.125" style="235" customWidth="1"/>
    <col min="49" max="16384" width="10.125" style="238" customWidth="1"/>
  </cols>
  <sheetData>
    <row r="1" spans="1:48" ht="21" customHeight="1">
      <c r="A1" s="241" t="s">
        <v>235</v>
      </c>
      <c r="B1" s="237"/>
      <c r="C1" s="237"/>
      <c r="AV1" s="238"/>
    </row>
    <row r="2" spans="1:48" ht="17.25" customHeight="1">
      <c r="A2" s="241"/>
      <c r="B2" s="242"/>
      <c r="C2" s="239"/>
      <c r="AV2" s="238"/>
    </row>
    <row r="3" spans="1:48" ht="12.75" customHeight="1">
      <c r="A3" s="353" t="s">
        <v>191</v>
      </c>
      <c r="B3" s="336" t="s">
        <v>89</v>
      </c>
      <c r="C3" s="355" t="s">
        <v>40</v>
      </c>
      <c r="D3" s="337">
        <v>2013</v>
      </c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>
        <v>2014</v>
      </c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8">
        <v>2015</v>
      </c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40"/>
      <c r="AQ3" s="123">
        <v>2016</v>
      </c>
      <c r="AR3" s="123">
        <f>AQ3+1</f>
        <v>2017</v>
      </c>
      <c r="AS3" s="123">
        <f>AR3+1</f>
        <v>2018</v>
      </c>
      <c r="AT3" s="123">
        <f>AS3+1</f>
        <v>2019</v>
      </c>
      <c r="AU3" s="123">
        <f>AT3+1</f>
        <v>2020</v>
      </c>
      <c r="AV3" s="238"/>
    </row>
    <row r="4" spans="1:48" ht="12.75">
      <c r="A4" s="354"/>
      <c r="B4" s="336"/>
      <c r="C4" s="356"/>
      <c r="D4" s="125">
        <f aca="true" t="shared" si="0" ref="D4:L4">C4+1</f>
        <v>1</v>
      </c>
      <c r="E4" s="125">
        <f t="shared" si="0"/>
        <v>2</v>
      </c>
      <c r="F4" s="125">
        <f t="shared" si="0"/>
        <v>3</v>
      </c>
      <c r="G4" s="125">
        <f t="shared" si="0"/>
        <v>4</v>
      </c>
      <c r="H4" s="125">
        <f t="shared" si="0"/>
        <v>5</v>
      </c>
      <c r="I4" s="125">
        <f t="shared" si="0"/>
        <v>6</v>
      </c>
      <c r="J4" s="125">
        <f t="shared" si="0"/>
        <v>7</v>
      </c>
      <c r="K4" s="125">
        <f t="shared" si="0"/>
        <v>8</v>
      </c>
      <c r="L4" s="125">
        <f t="shared" si="0"/>
        <v>9</v>
      </c>
      <c r="M4" s="125">
        <f>L4+1</f>
        <v>10</v>
      </c>
      <c r="N4" s="125">
        <f>M4+1</f>
        <v>11</v>
      </c>
      <c r="O4" s="125">
        <f>N4+1</f>
        <v>12</v>
      </c>
      <c r="P4" s="121" t="s">
        <v>0</v>
      </c>
      <c r="Q4" s="125">
        <v>1</v>
      </c>
      <c r="R4" s="125">
        <f aca="true" t="shared" si="1" ref="R4:AB4">Q4+1</f>
        <v>2</v>
      </c>
      <c r="S4" s="125">
        <f t="shared" si="1"/>
        <v>3</v>
      </c>
      <c r="T4" s="125">
        <f t="shared" si="1"/>
        <v>4</v>
      </c>
      <c r="U4" s="125">
        <f t="shared" si="1"/>
        <v>5</v>
      </c>
      <c r="V4" s="125">
        <f t="shared" si="1"/>
        <v>6</v>
      </c>
      <c r="W4" s="125">
        <f t="shared" si="1"/>
        <v>7</v>
      </c>
      <c r="X4" s="125">
        <f t="shared" si="1"/>
        <v>8</v>
      </c>
      <c r="Y4" s="125">
        <f t="shared" si="1"/>
        <v>9</v>
      </c>
      <c r="Z4" s="125">
        <f t="shared" si="1"/>
        <v>10</v>
      </c>
      <c r="AA4" s="125">
        <f t="shared" si="1"/>
        <v>11</v>
      </c>
      <c r="AB4" s="125">
        <f t="shared" si="1"/>
        <v>12</v>
      </c>
      <c r="AC4" s="121" t="s">
        <v>0</v>
      </c>
      <c r="AD4" s="125">
        <v>1</v>
      </c>
      <c r="AE4" s="125">
        <f aca="true" t="shared" si="2" ref="AE4:AO4">AD4+1</f>
        <v>2</v>
      </c>
      <c r="AF4" s="125">
        <f t="shared" si="2"/>
        <v>3</v>
      </c>
      <c r="AG4" s="125">
        <f t="shared" si="2"/>
        <v>4</v>
      </c>
      <c r="AH4" s="125">
        <f t="shared" si="2"/>
        <v>5</v>
      </c>
      <c r="AI4" s="125">
        <f t="shared" si="2"/>
        <v>6</v>
      </c>
      <c r="AJ4" s="125">
        <f t="shared" si="2"/>
        <v>7</v>
      </c>
      <c r="AK4" s="125">
        <f t="shared" si="2"/>
        <v>8</v>
      </c>
      <c r="AL4" s="125">
        <f t="shared" si="2"/>
        <v>9</v>
      </c>
      <c r="AM4" s="125">
        <f t="shared" si="2"/>
        <v>10</v>
      </c>
      <c r="AN4" s="125">
        <f t="shared" si="2"/>
        <v>11</v>
      </c>
      <c r="AO4" s="125">
        <f t="shared" si="2"/>
        <v>12</v>
      </c>
      <c r="AP4" s="121" t="s">
        <v>0</v>
      </c>
      <c r="AQ4" s="121" t="s">
        <v>111</v>
      </c>
      <c r="AR4" s="121" t="s">
        <v>111</v>
      </c>
      <c r="AS4" s="121" t="s">
        <v>111</v>
      </c>
      <c r="AT4" s="121" t="s">
        <v>111</v>
      </c>
      <c r="AU4" s="121" t="s">
        <v>111</v>
      </c>
      <c r="AV4" s="238"/>
    </row>
    <row r="5" spans="1:48" ht="12.75">
      <c r="A5" s="260" t="s">
        <v>192</v>
      </c>
      <c r="B5" s="127"/>
      <c r="C5" s="128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28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28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238"/>
    </row>
    <row r="6" spans="1:48" ht="15" customHeight="1">
      <c r="A6" s="240" t="s">
        <v>199</v>
      </c>
      <c r="B6" s="127"/>
      <c r="C6" s="128"/>
      <c r="D6" s="132"/>
      <c r="E6" s="132"/>
      <c r="F6" s="132"/>
      <c r="G6" s="132"/>
      <c r="H6" s="132"/>
      <c r="I6" s="247"/>
      <c r="J6" s="247"/>
      <c r="K6" s="247"/>
      <c r="L6" s="247"/>
      <c r="M6" s="247"/>
      <c r="N6" s="247"/>
      <c r="O6" s="247"/>
      <c r="P6" s="247"/>
      <c r="Q6" s="248">
        <v>0.3</v>
      </c>
      <c r="R6" s="247">
        <f>Q6</f>
        <v>0.3</v>
      </c>
      <c r="S6" s="248">
        <v>0.35</v>
      </c>
      <c r="T6" s="248">
        <v>0.4</v>
      </c>
      <c r="U6" s="248">
        <v>0.45</v>
      </c>
      <c r="V6" s="247">
        <f aca="true" t="shared" si="3" ref="V6:AA6">U6</f>
        <v>0.45</v>
      </c>
      <c r="W6" s="247">
        <f t="shared" si="3"/>
        <v>0.45</v>
      </c>
      <c r="X6" s="247">
        <f t="shared" si="3"/>
        <v>0.45</v>
      </c>
      <c r="Y6" s="248">
        <v>0.5</v>
      </c>
      <c r="Z6" s="247">
        <f t="shared" si="3"/>
        <v>0.5</v>
      </c>
      <c r="AA6" s="247">
        <f t="shared" si="3"/>
        <v>0.5</v>
      </c>
      <c r="AB6" s="248">
        <v>0.55</v>
      </c>
      <c r="AC6" s="247">
        <f>AVERAGE(Q6:AB6)</f>
        <v>0.43333333333333335</v>
      </c>
      <c r="AD6" s="248">
        <v>0.6</v>
      </c>
      <c r="AE6" s="247">
        <f>AD6</f>
        <v>0.6</v>
      </c>
      <c r="AF6" s="248">
        <v>0.65</v>
      </c>
      <c r="AG6" s="247">
        <f>AF6</f>
        <v>0.65</v>
      </c>
      <c r="AH6" s="247">
        <f>AG6</f>
        <v>0.65</v>
      </c>
      <c r="AI6" s="248">
        <v>0.65</v>
      </c>
      <c r="AJ6" s="247">
        <f>AI6</f>
        <v>0.65</v>
      </c>
      <c r="AK6" s="247">
        <f>AJ6</f>
        <v>0.65</v>
      </c>
      <c r="AL6" s="248">
        <v>0.65</v>
      </c>
      <c r="AM6" s="247">
        <f>AL6</f>
        <v>0.65</v>
      </c>
      <c r="AN6" s="247">
        <f>AM6</f>
        <v>0.65</v>
      </c>
      <c r="AO6" s="248">
        <v>0.7</v>
      </c>
      <c r="AP6" s="247">
        <f>AVERAGE(AD6:AO6)</f>
        <v>0.6458333333333335</v>
      </c>
      <c r="AQ6" s="248">
        <v>0.7</v>
      </c>
      <c r="AR6" s="248">
        <v>0.75</v>
      </c>
      <c r="AS6" s="248">
        <v>0.8</v>
      </c>
      <c r="AT6" s="248">
        <v>0.85</v>
      </c>
      <c r="AU6" s="248">
        <v>0.9</v>
      </c>
      <c r="AV6" s="238"/>
    </row>
    <row r="7" spans="1:48" ht="15" customHeight="1">
      <c r="A7" s="240" t="str">
        <f>Дох!A12</f>
        <v>Обои</v>
      </c>
      <c r="B7" s="127">
        <f>P7+AC7+AP7+AQ7+AR7+AS7+AT7+AU7</f>
        <v>4388.4</v>
      </c>
      <c r="C7" s="307" t="s">
        <v>374</v>
      </c>
      <c r="D7" s="132">
        <f>Исх!$C27*Производство!D$6</f>
        <v>0</v>
      </c>
      <c r="E7" s="132">
        <f>Исх!$C27*Производство!E$6</f>
        <v>0</v>
      </c>
      <c r="F7" s="132">
        <f>Исх!$C27*Производство!F$6</f>
        <v>0</v>
      </c>
      <c r="G7" s="132">
        <f>Исх!$C27*Производство!G$6</f>
        <v>0</v>
      </c>
      <c r="H7" s="132">
        <f>Исх!$C27*Производство!H$6</f>
        <v>0</v>
      </c>
      <c r="I7" s="132">
        <f>Исх!$C28*Производство!I$6</f>
        <v>0</v>
      </c>
      <c r="J7" s="132">
        <f>Исх!$C28*Производство!J$6</f>
        <v>0</v>
      </c>
      <c r="K7" s="132">
        <f>Исх!$C28*Производство!K$6</f>
        <v>0</v>
      </c>
      <c r="L7" s="132">
        <f>Исх!$C28*Производство!L$6</f>
        <v>0</v>
      </c>
      <c r="M7" s="132">
        <f>Исх!$C28*Производство!M$6</f>
        <v>0</v>
      </c>
      <c r="N7" s="132">
        <f>Исх!$C28*Производство!N$6</f>
        <v>0</v>
      </c>
      <c r="O7" s="132">
        <f>Исх!$C28*Производство!O$6</f>
        <v>0</v>
      </c>
      <c r="P7" s="128">
        <f>SUM(D7:O7)</f>
        <v>0</v>
      </c>
      <c r="Q7" s="132">
        <f>Исх!$C30*Производство!Q$6</f>
        <v>21.599999999999998</v>
      </c>
      <c r="R7" s="132">
        <f>Исх!$C30*Производство!R$6</f>
        <v>21.599999999999998</v>
      </c>
      <c r="S7" s="132">
        <f>Исх!$C30*Производство!S$6</f>
        <v>25.2</v>
      </c>
      <c r="T7" s="132">
        <f>Исх!$C30*Производство!T$6</f>
        <v>28.8</v>
      </c>
      <c r="U7" s="132">
        <f>Исх!$C30*Производство!U$6</f>
        <v>32.4</v>
      </c>
      <c r="V7" s="132">
        <f>Исх!$C30*Производство!V$6</f>
        <v>32.4</v>
      </c>
      <c r="W7" s="132">
        <f>Исх!$C30*Производство!W$6</f>
        <v>32.4</v>
      </c>
      <c r="X7" s="132">
        <f>Исх!$C30*Производство!X$6</f>
        <v>32.4</v>
      </c>
      <c r="Y7" s="132">
        <f>Исх!$C30*Производство!Y$6</f>
        <v>36</v>
      </c>
      <c r="Z7" s="132">
        <f>Исх!$C30*Производство!Z$6</f>
        <v>36</v>
      </c>
      <c r="AA7" s="132">
        <f>Исх!$C30*Производство!AA$6</f>
        <v>36</v>
      </c>
      <c r="AB7" s="132">
        <f>Исх!$C30*Производство!AB$6</f>
        <v>39.6</v>
      </c>
      <c r="AC7" s="128">
        <f>SUM(Q7:AB7)</f>
        <v>374.40000000000003</v>
      </c>
      <c r="AD7" s="132">
        <f>Исх!$C30*Производство!AD$6</f>
        <v>43.199999999999996</v>
      </c>
      <c r="AE7" s="132">
        <f>Исх!$C30*Производство!AE$6</f>
        <v>43.199999999999996</v>
      </c>
      <c r="AF7" s="132">
        <f>Исх!$C30*Производство!AF$6</f>
        <v>46.800000000000004</v>
      </c>
      <c r="AG7" s="132">
        <f>Исх!$C30*Производство!AG$6</f>
        <v>46.800000000000004</v>
      </c>
      <c r="AH7" s="132">
        <f>Исх!$C30*Производство!AH$6</f>
        <v>46.800000000000004</v>
      </c>
      <c r="AI7" s="132">
        <f>Исх!$C30*Производство!AI$6</f>
        <v>46.800000000000004</v>
      </c>
      <c r="AJ7" s="132">
        <f>Исх!$C30*Производство!AJ$6</f>
        <v>46.800000000000004</v>
      </c>
      <c r="AK7" s="132">
        <f>Исх!$C30*Производство!AK$6</f>
        <v>46.800000000000004</v>
      </c>
      <c r="AL7" s="132">
        <f>Исх!$C30*Производство!AL$6</f>
        <v>46.800000000000004</v>
      </c>
      <c r="AM7" s="132">
        <f>Исх!$C30*Производство!AM$6</f>
        <v>46.800000000000004</v>
      </c>
      <c r="AN7" s="132">
        <f>Исх!$C30*Производство!AN$6</f>
        <v>46.800000000000004</v>
      </c>
      <c r="AO7" s="132">
        <f>Исх!$C30*Производство!AO$6</f>
        <v>50.4</v>
      </c>
      <c r="AP7" s="132">
        <f>SUM(AD7:AO7)</f>
        <v>558.0000000000001</v>
      </c>
      <c r="AQ7" s="132">
        <f>Исх!$C30*Производство!AQ$6*12</f>
        <v>604.8</v>
      </c>
      <c r="AR7" s="132">
        <f>Исх!$C30*Производство!AR$6*12</f>
        <v>648</v>
      </c>
      <c r="AS7" s="132">
        <f>Исх!$C30*Производство!AS$6*12</f>
        <v>691.2</v>
      </c>
      <c r="AT7" s="132">
        <f>Исх!$C30*Производство!AT$6*12</f>
        <v>734.4</v>
      </c>
      <c r="AU7" s="132">
        <f>Исх!$C30*Производство!AU$6*12</f>
        <v>777.5999999999999</v>
      </c>
      <c r="AV7" s="238"/>
    </row>
    <row r="8" ht="12.75">
      <c r="C8" s="308"/>
    </row>
    <row r="9" spans="1:48" ht="12.75">
      <c r="A9" s="261" t="s">
        <v>236</v>
      </c>
      <c r="B9" s="127"/>
      <c r="C9" s="309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27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27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238"/>
    </row>
    <row r="10" spans="1:48" ht="15" customHeight="1">
      <c r="A10" s="240" t="str">
        <f>A7</f>
        <v>Обои</v>
      </c>
      <c r="B10" s="127">
        <f>P10+AC10+AP10+AQ10+AR10+AS10+AT10+AU10</f>
        <v>4326.9984</v>
      </c>
      <c r="C10" s="307" t="str">
        <f>C7</f>
        <v>тыс. рулон</v>
      </c>
      <c r="D10" s="132"/>
      <c r="E10" s="132"/>
      <c r="F10" s="132"/>
      <c r="G10" s="132"/>
      <c r="H10" s="132"/>
      <c r="I10" s="132"/>
      <c r="J10" s="132">
        <f>J7*Исх!H$55*0.5</f>
        <v>0</v>
      </c>
      <c r="K10" s="132">
        <f>K7*Исх!I$55</f>
        <v>0</v>
      </c>
      <c r="L10" s="132">
        <f>L7*Исх!J$55</f>
        <v>0</v>
      </c>
      <c r="M10" s="132">
        <f>M7*Исх!K$55</f>
        <v>0</v>
      </c>
      <c r="N10" s="132">
        <f>N7*Исх!L$55</f>
        <v>0</v>
      </c>
      <c r="O10" s="132"/>
      <c r="P10" s="128">
        <f>SUM(D10:O10)</f>
        <v>0</v>
      </c>
      <c r="Q10" s="132"/>
      <c r="R10" s="132"/>
      <c r="S10" s="282">
        <f>$AC$7*Исх!D55*0.8</f>
        <v>17.971200000000003</v>
      </c>
      <c r="T10" s="282">
        <f>$AC$7*Исх!E55*0.8</f>
        <v>23.961600000000004</v>
      </c>
      <c r="U10" s="282">
        <f>$AC$7*Исх!F55*0.8</f>
        <v>32.9472</v>
      </c>
      <c r="V10" s="282">
        <f>$AC$7*Исх!G55*0.9</f>
        <v>47.17440000000001</v>
      </c>
      <c r="W10" s="282">
        <f>$AC$7*Исх!H55*0.9</f>
        <v>53.9136</v>
      </c>
      <c r="X10" s="282">
        <f>$AC$7*Исх!I55*0.9</f>
        <v>47.17440000000001</v>
      </c>
      <c r="Y10" s="132">
        <f>$AC$7*Исх!J55</f>
        <v>37.440000000000005</v>
      </c>
      <c r="Z10" s="132">
        <f>$AC$7*Исх!K55</f>
        <v>29.952</v>
      </c>
      <c r="AA10" s="132">
        <f>$AC$7*Исх!L55</f>
        <v>14.976</v>
      </c>
      <c r="AB10" s="132">
        <f>$AC$7*Исх!M55</f>
        <v>7.488</v>
      </c>
      <c r="AC10" s="128">
        <f>SUM(Q10:AB10)</f>
        <v>312.99840000000006</v>
      </c>
      <c r="AD10" s="132">
        <f>$AP$7*Исх!B55</f>
        <v>11.160000000000002</v>
      </c>
      <c r="AE10" s="132">
        <f>$AP$7*Исх!C55</f>
        <v>27.900000000000006</v>
      </c>
      <c r="AF10" s="132">
        <f>$AP$7*Исх!D55</f>
        <v>33.480000000000004</v>
      </c>
      <c r="AG10" s="132">
        <f>$AP$7*Исх!E55</f>
        <v>44.64000000000001</v>
      </c>
      <c r="AH10" s="132">
        <f>$AP$7*Исх!F55</f>
        <v>61.38000000000001</v>
      </c>
      <c r="AI10" s="132">
        <f>$AP$7*Исх!G55</f>
        <v>78.12000000000002</v>
      </c>
      <c r="AJ10" s="132">
        <f>$AP$7*Исх!H55</f>
        <v>89.28000000000002</v>
      </c>
      <c r="AK10" s="132">
        <f>$AP$7*Исх!I55</f>
        <v>78.12000000000002</v>
      </c>
      <c r="AL10" s="132">
        <f>$AP$7*Исх!J55</f>
        <v>55.80000000000001</v>
      </c>
      <c r="AM10" s="132">
        <f>$AP$7*Исх!K55</f>
        <v>44.64000000000001</v>
      </c>
      <c r="AN10" s="132">
        <f>$AP$7*Исх!L55</f>
        <v>22.320000000000004</v>
      </c>
      <c r="AO10" s="132">
        <f>$AP$7*Исх!M55</f>
        <v>11.160000000000002</v>
      </c>
      <c r="AP10" s="128">
        <f>SUM(AD10:AO10)</f>
        <v>558.0000000000001</v>
      </c>
      <c r="AQ10" s="132">
        <f>AQ7</f>
        <v>604.8</v>
      </c>
      <c r="AR10" s="132">
        <f>AR7</f>
        <v>648</v>
      </c>
      <c r="AS10" s="132">
        <f>AS7</f>
        <v>691.2</v>
      </c>
      <c r="AT10" s="132">
        <f>AT7</f>
        <v>734.4</v>
      </c>
      <c r="AU10" s="132">
        <f>AU7</f>
        <v>777.5999999999999</v>
      </c>
      <c r="AV10" s="238"/>
    </row>
    <row r="11" ht="12.75">
      <c r="C11" s="308"/>
    </row>
    <row r="12" spans="1:48" ht="12.75">
      <c r="A12" s="261" t="s">
        <v>237</v>
      </c>
      <c r="B12" s="127"/>
      <c r="C12" s="309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27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27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238"/>
    </row>
    <row r="13" spans="1:48" ht="15" customHeight="1">
      <c r="A13" s="240" t="str">
        <f>A10</f>
        <v>Обои</v>
      </c>
      <c r="B13" s="127">
        <f>AU13</f>
        <v>61.4015999999998</v>
      </c>
      <c r="C13" s="307" t="str">
        <f>C10</f>
        <v>тыс. рулон</v>
      </c>
      <c r="D13" s="132"/>
      <c r="E13" s="132">
        <f aca="true" t="shared" si="4" ref="E13:K13">D13+E7-E10</f>
        <v>0</v>
      </c>
      <c r="F13" s="132">
        <f t="shared" si="4"/>
        <v>0</v>
      </c>
      <c r="G13" s="132">
        <f t="shared" si="4"/>
        <v>0</v>
      </c>
      <c r="H13" s="132">
        <f t="shared" si="4"/>
        <v>0</v>
      </c>
      <c r="I13" s="132">
        <f t="shared" si="4"/>
        <v>0</v>
      </c>
      <c r="J13" s="132">
        <f t="shared" si="4"/>
        <v>0</v>
      </c>
      <c r="K13" s="132">
        <f t="shared" si="4"/>
        <v>0</v>
      </c>
      <c r="L13" s="132">
        <f>K13+L7-L10</f>
        <v>0</v>
      </c>
      <c r="M13" s="132">
        <f>L13+M7-M10</f>
        <v>0</v>
      </c>
      <c r="N13" s="132">
        <f>M13+N7-N10</f>
        <v>0</v>
      </c>
      <c r="O13" s="132">
        <f>N13+O7-O10</f>
        <v>0</v>
      </c>
      <c r="P13" s="128">
        <f>O13</f>
        <v>0</v>
      </c>
      <c r="Q13" s="132">
        <f aca="true" t="shared" si="5" ref="Q13:AB13">P13+Q7-Q10</f>
        <v>21.599999999999998</v>
      </c>
      <c r="R13" s="132">
        <f t="shared" si="5"/>
        <v>43.199999999999996</v>
      </c>
      <c r="S13" s="132">
        <f t="shared" si="5"/>
        <v>50.42879999999999</v>
      </c>
      <c r="T13" s="132">
        <f t="shared" si="5"/>
        <v>55.26719999999999</v>
      </c>
      <c r="U13" s="132">
        <f t="shared" si="5"/>
        <v>54.71999999999998</v>
      </c>
      <c r="V13" s="132">
        <f t="shared" si="5"/>
        <v>39.94559999999996</v>
      </c>
      <c r="W13" s="132">
        <f t="shared" si="5"/>
        <v>18.43199999999996</v>
      </c>
      <c r="X13" s="132">
        <f t="shared" si="5"/>
        <v>3.6575999999999453</v>
      </c>
      <c r="Y13" s="132">
        <f t="shared" si="5"/>
        <v>2.2175999999999405</v>
      </c>
      <c r="Z13" s="132">
        <f t="shared" si="5"/>
        <v>8.265599999999939</v>
      </c>
      <c r="AA13" s="132">
        <f t="shared" si="5"/>
        <v>29.289599999999936</v>
      </c>
      <c r="AB13" s="132">
        <f t="shared" si="5"/>
        <v>61.401599999999945</v>
      </c>
      <c r="AC13" s="128">
        <f>AB13</f>
        <v>61.401599999999945</v>
      </c>
      <c r="AD13" s="132">
        <f aca="true" t="shared" si="6" ref="AD13:AO13">AC13+AD7-AD10</f>
        <v>93.44159999999994</v>
      </c>
      <c r="AE13" s="132">
        <f t="shared" si="6"/>
        <v>108.74159999999992</v>
      </c>
      <c r="AF13" s="132">
        <f t="shared" si="6"/>
        <v>122.06159999999993</v>
      </c>
      <c r="AG13" s="132">
        <f t="shared" si="6"/>
        <v>124.22159999999991</v>
      </c>
      <c r="AH13" s="132">
        <f t="shared" si="6"/>
        <v>109.64159999999991</v>
      </c>
      <c r="AI13" s="132">
        <f t="shared" si="6"/>
        <v>78.32159999999989</v>
      </c>
      <c r="AJ13" s="132">
        <f t="shared" si="6"/>
        <v>35.84159999999987</v>
      </c>
      <c r="AK13" s="132">
        <f t="shared" si="6"/>
        <v>4.52159999999985</v>
      </c>
      <c r="AL13" s="132">
        <f t="shared" si="6"/>
        <v>-4.478400000000157</v>
      </c>
      <c r="AM13" s="132">
        <f t="shared" si="6"/>
        <v>-2.3184000000001603</v>
      </c>
      <c r="AN13" s="132">
        <f t="shared" si="6"/>
        <v>22.16159999999984</v>
      </c>
      <c r="AO13" s="132">
        <f t="shared" si="6"/>
        <v>61.40159999999984</v>
      </c>
      <c r="AP13" s="132">
        <f>AO13</f>
        <v>61.40159999999984</v>
      </c>
      <c r="AQ13" s="132">
        <f>AP13+AQ7-AQ10</f>
        <v>61.4015999999998</v>
      </c>
      <c r="AR13" s="132">
        <f>AQ13+AR7-AR10</f>
        <v>61.4015999999998</v>
      </c>
      <c r="AS13" s="132">
        <f>AR13+AS7-AS10</f>
        <v>61.4015999999998</v>
      </c>
      <c r="AT13" s="132">
        <f>AS13+AT7-AT10</f>
        <v>61.4015999999998</v>
      </c>
      <c r="AU13" s="132">
        <f>AT13+AU7-AU10</f>
        <v>61.4015999999998</v>
      </c>
      <c r="AV13" s="238"/>
    </row>
    <row r="15" spans="1:13" ht="12.75">
      <c r="A15" s="265" t="s">
        <v>238</v>
      </c>
      <c r="B15" s="262">
        <f>B7-B10-B13</f>
        <v>-5.684341886080801E-13</v>
      </c>
      <c r="M15" s="304"/>
    </row>
  </sheetData>
  <sheetProtection/>
  <mergeCells count="6">
    <mergeCell ref="A3:A4"/>
    <mergeCell ref="B3:B4"/>
    <mergeCell ref="D3:P3"/>
    <mergeCell ref="Q3:AC3"/>
    <mergeCell ref="AD3:AP3"/>
    <mergeCell ref="C3:C4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14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8.875" defaultRowHeight="12.75"/>
  <cols>
    <col min="1" max="1" width="50.625" style="78" customWidth="1"/>
    <col min="2" max="2" width="8.125" style="78" customWidth="1"/>
    <col min="3" max="3" width="9.375" style="78" customWidth="1"/>
    <col min="4" max="4" width="16.00390625" style="78" customWidth="1"/>
    <col min="5" max="5" width="14.625" style="78" bestFit="1" customWidth="1"/>
    <col min="6" max="6" width="17.375" style="78" hidden="1" customWidth="1"/>
    <col min="7" max="7" width="18.125" style="78" hidden="1" customWidth="1"/>
    <col min="8" max="8" width="10.75390625" style="78" customWidth="1"/>
    <col min="9" max="9" width="12.625" style="78" customWidth="1"/>
    <col min="10" max="10" width="11.625" style="78" customWidth="1"/>
    <col min="11" max="16384" width="8.875" style="78" customWidth="1"/>
  </cols>
  <sheetData>
    <row r="1" spans="1:6" ht="12.75">
      <c r="A1" s="62" t="s">
        <v>196</v>
      </c>
      <c r="B1" s="62"/>
      <c r="D1" s="62"/>
      <c r="F1" s="62"/>
    </row>
    <row r="2" spans="1:6" ht="12.75">
      <c r="A2" s="62"/>
      <c r="D2" s="62"/>
      <c r="F2" s="62"/>
    </row>
    <row r="3" spans="1:5" ht="12.75">
      <c r="A3" s="306" t="s">
        <v>43</v>
      </c>
      <c r="D3" s="361"/>
      <c r="E3" s="361"/>
    </row>
    <row r="4" spans="1:7" ht="12.75">
      <c r="A4" s="348" t="s">
        <v>204</v>
      </c>
      <c r="B4" s="359" t="s">
        <v>193</v>
      </c>
      <c r="C4" s="359" t="s">
        <v>234</v>
      </c>
      <c r="D4" s="357" t="str">
        <f>Дох!A6</f>
        <v>Обои</v>
      </c>
      <c r="E4" s="358"/>
      <c r="F4" s="357"/>
      <c r="G4" s="358"/>
    </row>
    <row r="5" spans="1:7" ht="25.5">
      <c r="A5" s="349"/>
      <c r="B5" s="360"/>
      <c r="C5" s="360"/>
      <c r="D5" s="256" t="s">
        <v>370</v>
      </c>
      <c r="E5" s="256" t="s">
        <v>371</v>
      </c>
      <c r="F5" s="256"/>
      <c r="G5" s="256"/>
    </row>
    <row r="6" spans="1:7" ht="12.75">
      <c r="A6" s="81" t="str">
        <f>Исх!A33</f>
        <v>Бумага для обоев</v>
      </c>
      <c r="B6" s="236" t="s">
        <v>269</v>
      </c>
      <c r="C6" s="146">
        <f>Исх!C33/Исх!$C$19</f>
        <v>245.30851428571427</v>
      </c>
      <c r="D6" s="259">
        <f>Исх!$C$29*Исх!$C$40/100*Исх!$C$39/1000</f>
        <v>0.63</v>
      </c>
      <c r="E6" s="146">
        <f>D6*$C6</f>
        <v>154.544364</v>
      </c>
      <c r="F6" s="259"/>
      <c r="G6" s="146"/>
    </row>
    <row r="7" spans="1:7" ht="12.75">
      <c r="A7" s="81" t="str">
        <f>Исх!A34</f>
        <v>Поливинилхлорид</v>
      </c>
      <c r="B7" s="236" t="s">
        <v>269</v>
      </c>
      <c r="C7" s="146">
        <f>Исх!C34/Исх!$C$19</f>
        <v>201.33928571428572</v>
      </c>
      <c r="D7" s="259">
        <f>Исх!C43/1000*Исх!$C$41</f>
        <v>1.4000000000000001</v>
      </c>
      <c r="E7" s="146">
        <f>D7*$C7</f>
        <v>281.87500000000006</v>
      </c>
      <c r="F7" s="259"/>
      <c r="G7" s="146"/>
    </row>
    <row r="8" spans="1:7" ht="12.75">
      <c r="A8" s="81" t="str">
        <f>Исх!A35</f>
        <v>Пластизольная краска</v>
      </c>
      <c r="B8" s="236" t="s">
        <v>269</v>
      </c>
      <c r="C8" s="146">
        <f>Исх!C35/Исх!$C$19</f>
        <v>341.7857142857142</v>
      </c>
      <c r="D8" s="259">
        <f>Исх!C44/1000*Исх!$C$41</f>
        <v>1.75</v>
      </c>
      <c r="E8" s="146">
        <f>D8*$C8</f>
        <v>598.1249999999999</v>
      </c>
      <c r="F8" s="250"/>
      <c r="G8" s="146"/>
    </row>
    <row r="9" spans="1:7" ht="12.75">
      <c r="A9" s="81" t="str">
        <f>Исх!A36</f>
        <v>Термоусадочная полиолефиновая пленка</v>
      </c>
      <c r="B9" s="236" t="s">
        <v>269</v>
      </c>
      <c r="C9" s="146">
        <f>Исх!C36/Исх!$C$19</f>
        <v>706.3571428571427</v>
      </c>
      <c r="D9" s="259">
        <f>Исх!C45</f>
        <v>0.03</v>
      </c>
      <c r="E9" s="146">
        <f>D9*$C9</f>
        <v>21.19071428571428</v>
      </c>
      <c r="F9" s="259"/>
      <c r="G9" s="250"/>
    </row>
    <row r="10" spans="1:8" ht="12.75">
      <c r="A10" s="156" t="s">
        <v>0</v>
      </c>
      <c r="B10" s="257"/>
      <c r="C10" s="252"/>
      <c r="D10" s="258"/>
      <c r="E10" s="246">
        <f>SUM(E6:E9)</f>
        <v>1055.735078285714</v>
      </c>
      <c r="F10" s="258"/>
      <c r="G10" s="246">
        <f>SUM(G6:G9)</f>
        <v>0</v>
      </c>
      <c r="H10" s="148"/>
    </row>
    <row r="11" spans="1:7" s="148" customFormat="1" ht="12.75">
      <c r="A11" s="148" t="s">
        <v>243</v>
      </c>
      <c r="E11" s="267">
        <f>('2-ф2'!$B$10+'2-ф2'!$B$11+'2-ф2'!$B$12)*'Расх перем'!E12</f>
        <v>684711.6675535192</v>
      </c>
      <c r="G11" s="267"/>
    </row>
    <row r="12" spans="1:7" s="148" customFormat="1" ht="12.75">
      <c r="A12" s="148" t="s">
        <v>240</v>
      </c>
      <c r="E12" s="266">
        <f>'2-ф2'!$B$6/'2-ф2'!$B$5</f>
        <v>1</v>
      </c>
      <c r="F12" s="266"/>
      <c r="G12" s="266"/>
    </row>
    <row r="13" spans="1:7" s="148" customFormat="1" ht="12.75">
      <c r="A13" s="148" t="s">
        <v>242</v>
      </c>
      <c r="E13" s="267">
        <f>E11/Производство!$B$10</f>
        <v>158.2417196071806</v>
      </c>
      <c r="G13" s="267"/>
    </row>
    <row r="14" spans="1:7" s="148" customFormat="1" ht="12.75">
      <c r="A14" s="268" t="s">
        <v>241</v>
      </c>
      <c r="B14" s="269"/>
      <c r="C14" s="269"/>
      <c r="D14" s="269"/>
      <c r="E14" s="270">
        <f>E10+E13</f>
        <v>1213.9767978928946</v>
      </c>
      <c r="F14" s="269"/>
      <c r="G14" s="270"/>
    </row>
    <row r="15" s="148" customFormat="1" ht="12.75"/>
  </sheetData>
  <sheetProtection/>
  <mergeCells count="6">
    <mergeCell ref="D4:E4"/>
    <mergeCell ref="A4:A5"/>
    <mergeCell ref="B4:B5"/>
    <mergeCell ref="C4:C5"/>
    <mergeCell ref="F4:G4"/>
    <mergeCell ref="D3:E3"/>
  </mergeCells>
  <printOptions/>
  <pageMargins left="0.34" right="0.43" top="0.45" bottom="0.38" header="0.2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M37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12" sqref="B12"/>
    </sheetView>
  </sheetViews>
  <sheetFormatPr defaultColWidth="9.00390625" defaultRowHeight="12.75"/>
  <cols>
    <col min="1" max="1" width="5.625" style="78" customWidth="1"/>
    <col min="2" max="2" width="33.375" style="78" customWidth="1"/>
    <col min="3" max="3" width="10.00390625" style="78" customWidth="1"/>
    <col min="4" max="4" width="11.625" style="78" customWidth="1"/>
    <col min="5" max="5" width="12.75390625" style="78" customWidth="1"/>
    <col min="6" max="9" width="11.625" style="78" customWidth="1"/>
    <col min="10" max="10" width="10.125" style="78" customWidth="1"/>
    <col min="11" max="11" width="12.00390625" style="78" customWidth="1"/>
    <col min="12" max="16384" width="9.125" style="78" customWidth="1"/>
  </cols>
  <sheetData>
    <row r="1" ht="5.25" customHeight="1"/>
    <row r="2" spans="1:13" ht="16.5" customHeight="1">
      <c r="A2" s="62" t="s">
        <v>143</v>
      </c>
      <c r="D2" s="166"/>
      <c r="E2" s="166"/>
      <c r="F2" s="166"/>
      <c r="G2" s="166"/>
      <c r="H2" s="166"/>
      <c r="I2" s="166"/>
      <c r="J2" s="166"/>
      <c r="K2" s="147" t="str">
        <f>Исх!C10</f>
        <v>тыс.тг.</v>
      </c>
      <c r="M2" s="249">
        <f>'1-Ф3'!$B$2</f>
        <v>0</v>
      </c>
    </row>
    <row r="3" spans="1:11" ht="8.2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1" ht="42" customHeight="1">
      <c r="A4" s="150" t="s">
        <v>36</v>
      </c>
      <c r="B4" s="151" t="s">
        <v>37</v>
      </c>
      <c r="C4" s="219" t="s">
        <v>38</v>
      </c>
      <c r="D4" s="152" t="s">
        <v>96</v>
      </c>
      <c r="E4" s="152" t="s">
        <v>97</v>
      </c>
      <c r="F4" s="152" t="s">
        <v>47</v>
      </c>
      <c r="G4" s="152" t="s">
        <v>48</v>
      </c>
      <c r="H4" s="152" t="s">
        <v>49</v>
      </c>
      <c r="I4" s="152" t="s">
        <v>50</v>
      </c>
      <c r="J4" s="152" t="s">
        <v>51</v>
      </c>
      <c r="K4" s="152" t="s">
        <v>45</v>
      </c>
    </row>
    <row r="5" spans="1:11" s="62" customFormat="1" ht="12.75">
      <c r="A5" s="143"/>
      <c r="B5" s="153" t="s">
        <v>95</v>
      </c>
      <c r="C5" s="143"/>
      <c r="D5" s="143"/>
      <c r="E5" s="143"/>
      <c r="F5" s="143"/>
      <c r="G5" s="143"/>
      <c r="H5" s="143"/>
      <c r="I5" s="143"/>
      <c r="J5" s="143"/>
      <c r="K5" s="143"/>
    </row>
    <row r="6" spans="1:11" ht="12.75">
      <c r="A6" s="81">
        <v>1</v>
      </c>
      <c r="B6" s="81" t="s">
        <v>248</v>
      </c>
      <c r="C6" s="81">
        <v>1</v>
      </c>
      <c r="D6" s="145">
        <v>300</v>
      </c>
      <c r="E6" s="154">
        <f>C6*D6</f>
        <v>300</v>
      </c>
      <c r="F6" s="154">
        <f>E6*$C$31</f>
        <v>30</v>
      </c>
      <c r="G6" s="154">
        <f>(E6-$C$35-F6)*$C$33</f>
        <v>25.134</v>
      </c>
      <c r="H6" s="154">
        <f>(E6-F6)*$C$32</f>
        <v>13.5</v>
      </c>
      <c r="I6" s="154">
        <f>(E6-F6)*$C$34-H6</f>
        <v>16.2</v>
      </c>
      <c r="J6" s="154">
        <f>E6-F6-G6</f>
        <v>244.86599999999999</v>
      </c>
      <c r="K6" s="155">
        <f>SUM(F6:J6)</f>
        <v>329.7</v>
      </c>
    </row>
    <row r="7" spans="1:11" ht="12.75">
      <c r="A7" s="81">
        <v>2</v>
      </c>
      <c r="B7" s="81" t="s">
        <v>249</v>
      </c>
      <c r="C7" s="81">
        <v>1</v>
      </c>
      <c r="D7" s="145">
        <v>190</v>
      </c>
      <c r="E7" s="154">
        <f>C7*D7</f>
        <v>190</v>
      </c>
      <c r="F7" s="154">
        <f>E7*$C$31</f>
        <v>19</v>
      </c>
      <c r="G7" s="154">
        <f>(E7-$C$35-F7)*$C$33</f>
        <v>15.234000000000002</v>
      </c>
      <c r="H7" s="154">
        <f>(E7-F7)*$C$32</f>
        <v>8.55</v>
      </c>
      <c r="I7" s="154">
        <f>(E7-F7)*$C$34-H7</f>
        <v>10.259999999999998</v>
      </c>
      <c r="J7" s="154">
        <f>E7-F7-G7</f>
        <v>155.766</v>
      </c>
      <c r="K7" s="155">
        <f>SUM(F7:J7)</f>
        <v>208.81</v>
      </c>
    </row>
    <row r="8" spans="1:11" ht="12.75">
      <c r="A8" s="81">
        <v>3</v>
      </c>
      <c r="B8" s="81" t="s">
        <v>308</v>
      </c>
      <c r="C8" s="81">
        <v>1</v>
      </c>
      <c r="D8" s="145">
        <v>110</v>
      </c>
      <c r="E8" s="154">
        <f>C8*D8</f>
        <v>110</v>
      </c>
      <c r="F8" s="154">
        <f>E8*$C$31</f>
        <v>11</v>
      </c>
      <c r="G8" s="154">
        <f>(E8-$C$35-F8)*$C$33</f>
        <v>8.034</v>
      </c>
      <c r="H8" s="154">
        <f>(E8-F8)*$C$32</f>
        <v>4.95</v>
      </c>
      <c r="I8" s="154">
        <f>(E8-F8)*$C$34-H8</f>
        <v>5.94</v>
      </c>
      <c r="J8" s="154">
        <f>E8-F8-G8</f>
        <v>90.966</v>
      </c>
      <c r="K8" s="155">
        <f>SUM(F8:J8)</f>
        <v>120.88999999999999</v>
      </c>
    </row>
    <row r="9" spans="1:11" ht="12.75">
      <c r="A9" s="81">
        <v>4</v>
      </c>
      <c r="B9" s="81" t="s">
        <v>273</v>
      </c>
      <c r="C9" s="81">
        <v>2</v>
      </c>
      <c r="D9" s="145">
        <v>170</v>
      </c>
      <c r="E9" s="154">
        <f>C9*D9</f>
        <v>340</v>
      </c>
      <c r="F9" s="154">
        <f>E9*$C$31</f>
        <v>34</v>
      </c>
      <c r="G9" s="154">
        <f>(E9-$C$35-F9)*$C$33</f>
        <v>28.733999999999998</v>
      </c>
      <c r="H9" s="154">
        <f>(E9-F9)*$C$32</f>
        <v>15.3</v>
      </c>
      <c r="I9" s="154">
        <f>(E9-F9)*$C$34-H9</f>
        <v>18.360000000000003</v>
      </c>
      <c r="J9" s="154">
        <f>E9-F9-G9</f>
        <v>277.266</v>
      </c>
      <c r="K9" s="155">
        <f>SUM(F9:J9)</f>
        <v>373.66</v>
      </c>
    </row>
    <row r="10" spans="1:11" s="62" customFormat="1" ht="12.75">
      <c r="A10" s="156"/>
      <c r="B10" s="156" t="s">
        <v>0</v>
      </c>
      <c r="C10" s="31">
        <f aca="true" t="shared" si="0" ref="C10:K10">SUM(C6:C9)</f>
        <v>5</v>
      </c>
      <c r="D10" s="31">
        <f t="shared" si="0"/>
        <v>770</v>
      </c>
      <c r="E10" s="31">
        <f t="shared" si="0"/>
        <v>940</v>
      </c>
      <c r="F10" s="31">
        <f t="shared" si="0"/>
        <v>94</v>
      </c>
      <c r="G10" s="31">
        <f t="shared" si="0"/>
        <v>77.136</v>
      </c>
      <c r="H10" s="31">
        <f t="shared" si="0"/>
        <v>42.3</v>
      </c>
      <c r="I10" s="31">
        <f t="shared" si="0"/>
        <v>50.760000000000005</v>
      </c>
      <c r="J10" s="31">
        <f t="shared" si="0"/>
        <v>768.864</v>
      </c>
      <c r="K10" s="31">
        <f t="shared" si="0"/>
        <v>1033.06</v>
      </c>
    </row>
    <row r="11" spans="1:12" s="62" customFormat="1" ht="12.75">
      <c r="A11" s="143"/>
      <c r="B11" s="143" t="s">
        <v>396</v>
      </c>
      <c r="C11" s="143"/>
      <c r="D11" s="144"/>
      <c r="E11" s="144"/>
      <c r="F11" s="144"/>
      <c r="G11" s="144"/>
      <c r="H11" s="144"/>
      <c r="I11" s="144"/>
      <c r="J11" s="144"/>
      <c r="K11" s="144"/>
      <c r="L11" s="78"/>
    </row>
    <row r="12" spans="1:11" ht="12.75">
      <c r="A12" s="81">
        <v>1</v>
      </c>
      <c r="B12" s="81" t="s">
        <v>239</v>
      </c>
      <c r="C12" s="154">
        <f>15*Исх!$C$24</f>
        <v>15</v>
      </c>
      <c r="D12" s="145">
        <v>90</v>
      </c>
      <c r="E12" s="154">
        <f>C12*D12</f>
        <v>1350</v>
      </c>
      <c r="F12" s="154">
        <f>E12*$C$31</f>
        <v>135</v>
      </c>
      <c r="G12" s="154">
        <f>(E12-$C$35-F12)*$C$33</f>
        <v>119.634</v>
      </c>
      <c r="H12" s="154">
        <f>(E12-F12)*$C$32</f>
        <v>60.75</v>
      </c>
      <c r="I12" s="154">
        <f>(E12-F12)*$C$34-H12</f>
        <v>72.9</v>
      </c>
      <c r="J12" s="154">
        <f>E12-F12-G12</f>
        <v>1095.366</v>
      </c>
      <c r="K12" s="155">
        <f>SUM(F12:J12)</f>
        <v>1483.65</v>
      </c>
    </row>
    <row r="13" spans="1:11" ht="12.75">
      <c r="A13" s="81">
        <v>2</v>
      </c>
      <c r="B13" s="81" t="s">
        <v>272</v>
      </c>
      <c r="C13" s="154">
        <f>3*Исх!$C$24</f>
        <v>3</v>
      </c>
      <c r="D13" s="145">
        <v>75</v>
      </c>
      <c r="E13" s="154">
        <f>C13*D13</f>
        <v>225</v>
      </c>
      <c r="F13" s="154">
        <f>E13*$C$31</f>
        <v>22.5</v>
      </c>
      <c r="G13" s="154">
        <f>(E13-$C$35-F13)*$C$33</f>
        <v>18.384</v>
      </c>
      <c r="H13" s="154">
        <f>(E13-F13)*$C$32</f>
        <v>10.125</v>
      </c>
      <c r="I13" s="154">
        <f>(E13-F13)*$C$34-H13</f>
        <v>12.149999999999999</v>
      </c>
      <c r="J13" s="154">
        <f>E13-F13-G13</f>
        <v>184.11599999999999</v>
      </c>
      <c r="K13" s="155">
        <f>SUM(F13:J13)</f>
        <v>247.27499999999998</v>
      </c>
    </row>
    <row r="14" spans="1:11" ht="12.75">
      <c r="A14" s="81">
        <v>3</v>
      </c>
      <c r="B14" s="81" t="s">
        <v>316</v>
      </c>
      <c r="C14" s="81">
        <v>1</v>
      </c>
      <c r="D14" s="145">
        <v>100</v>
      </c>
      <c r="E14" s="154">
        <f>C14*D14</f>
        <v>100</v>
      </c>
      <c r="F14" s="154">
        <f>E14*$C$31</f>
        <v>10</v>
      </c>
      <c r="G14" s="154">
        <f>(E14-$C$35-F14)*$C$33</f>
        <v>7.134</v>
      </c>
      <c r="H14" s="154">
        <f>(E14-F14)*$C$32</f>
        <v>4.5</v>
      </c>
      <c r="I14" s="154">
        <f>(E14-F14)*$C$34-H14</f>
        <v>5.4</v>
      </c>
      <c r="J14" s="154">
        <f>E14-F14-G14</f>
        <v>82.866</v>
      </c>
      <c r="K14" s="155">
        <f>SUM(F14:J14)</f>
        <v>109.9</v>
      </c>
    </row>
    <row r="15" spans="1:11" s="62" customFormat="1" ht="12.75">
      <c r="A15" s="156"/>
      <c r="B15" s="157" t="s">
        <v>0</v>
      </c>
      <c r="C15" s="277">
        <f aca="true" t="shared" si="1" ref="C15:K15">SUM(C11:C14)</f>
        <v>19</v>
      </c>
      <c r="D15" s="155">
        <f t="shared" si="1"/>
        <v>265</v>
      </c>
      <c r="E15" s="155">
        <f t="shared" si="1"/>
        <v>1675</v>
      </c>
      <c r="F15" s="155">
        <f t="shared" si="1"/>
        <v>167.5</v>
      </c>
      <c r="G15" s="155">
        <f t="shared" si="1"/>
        <v>145.152</v>
      </c>
      <c r="H15" s="155">
        <f t="shared" si="1"/>
        <v>75.375</v>
      </c>
      <c r="I15" s="155">
        <f t="shared" si="1"/>
        <v>90.45000000000002</v>
      </c>
      <c r="J15" s="155">
        <f t="shared" si="1"/>
        <v>1362.348</v>
      </c>
      <c r="K15" s="155">
        <f t="shared" si="1"/>
        <v>1840.8250000000003</v>
      </c>
    </row>
    <row r="16" spans="1:11" s="62" customFormat="1" ht="12.75">
      <c r="A16" s="143"/>
      <c r="B16" s="143" t="s">
        <v>348</v>
      </c>
      <c r="C16" s="143"/>
      <c r="D16" s="144"/>
      <c r="E16" s="144"/>
      <c r="F16" s="144"/>
      <c r="G16" s="144"/>
      <c r="H16" s="144"/>
      <c r="I16" s="144"/>
      <c r="J16" s="144"/>
      <c r="K16" s="144"/>
    </row>
    <row r="17" spans="1:11" ht="12.75">
      <c r="A17" s="81">
        <v>1</v>
      </c>
      <c r="B17" s="81" t="s">
        <v>350</v>
      </c>
      <c r="C17" s="81">
        <f>2*Исх!$C$24</f>
        <v>2</v>
      </c>
      <c r="D17" s="145">
        <v>90</v>
      </c>
      <c r="E17" s="154">
        <f>C17*D17</f>
        <v>180</v>
      </c>
      <c r="F17" s="154">
        <f>E17*$C$31</f>
        <v>18</v>
      </c>
      <c r="G17" s="154">
        <f>(E17-$C$35-F17)*$C$33</f>
        <v>14.334000000000001</v>
      </c>
      <c r="H17" s="154">
        <f>(E17-F17)*$C$32</f>
        <v>8.1</v>
      </c>
      <c r="I17" s="154">
        <f>(E17-F17)*$C$34-H17</f>
        <v>9.72</v>
      </c>
      <c r="J17" s="154">
        <f>E17-F17-G17</f>
        <v>147.666</v>
      </c>
      <c r="K17" s="155">
        <f>SUM(F17:J17)</f>
        <v>197.82</v>
      </c>
    </row>
    <row r="18" spans="1:11" ht="12.75" hidden="1">
      <c r="A18" s="81">
        <v>2</v>
      </c>
      <c r="B18" s="81"/>
      <c r="C18" s="81"/>
      <c r="D18" s="145"/>
      <c r="E18" s="154">
        <f>C18*D18</f>
        <v>0</v>
      </c>
      <c r="F18" s="154">
        <f>E18*$C$31</f>
        <v>0</v>
      </c>
      <c r="G18" s="154">
        <f>(E18-$C$35-F18)*$C$33</f>
        <v>-1.866</v>
      </c>
      <c r="H18" s="154">
        <f>(E18-F18)*$C$32</f>
        <v>0</v>
      </c>
      <c r="I18" s="154">
        <f>(E18-F18)*$C$34-H18</f>
        <v>0</v>
      </c>
      <c r="J18" s="154">
        <f>E18-F18-G18</f>
        <v>1.866</v>
      </c>
      <c r="K18" s="155">
        <f>SUM(F18:J18)</f>
        <v>0</v>
      </c>
    </row>
    <row r="19" spans="1:11" ht="12.75" hidden="1">
      <c r="A19" s="81">
        <v>3</v>
      </c>
      <c r="B19" s="81"/>
      <c r="C19" s="81"/>
      <c r="D19" s="145"/>
      <c r="E19" s="154">
        <f>C19*D19</f>
        <v>0</v>
      </c>
      <c r="F19" s="154">
        <f>E19*$C$31</f>
        <v>0</v>
      </c>
      <c r="G19" s="154">
        <f>(E19-$C$35-F19)*$C$33</f>
        <v>-1.866</v>
      </c>
      <c r="H19" s="154">
        <f>(E19-F19)*$C$32</f>
        <v>0</v>
      </c>
      <c r="I19" s="154">
        <f>(E19-F19)*$C$34-H19</f>
        <v>0</v>
      </c>
      <c r="J19" s="154">
        <f>E19-F19-G19</f>
        <v>1.866</v>
      </c>
      <c r="K19" s="155">
        <f>SUM(F19:J19)</f>
        <v>0</v>
      </c>
    </row>
    <row r="20" spans="1:11" s="62" customFormat="1" ht="12.75">
      <c r="A20" s="156"/>
      <c r="B20" s="157" t="s">
        <v>0</v>
      </c>
      <c r="C20" s="156">
        <f aca="true" t="shared" si="2" ref="C20:K20">SUM(C17:C19)</f>
        <v>2</v>
      </c>
      <c r="D20" s="155">
        <f t="shared" si="2"/>
        <v>90</v>
      </c>
      <c r="E20" s="155">
        <f t="shared" si="2"/>
        <v>180</v>
      </c>
      <c r="F20" s="155">
        <f t="shared" si="2"/>
        <v>18</v>
      </c>
      <c r="G20" s="155">
        <f t="shared" si="2"/>
        <v>10.602000000000002</v>
      </c>
      <c r="H20" s="155">
        <f t="shared" si="2"/>
        <v>8.1</v>
      </c>
      <c r="I20" s="155">
        <f t="shared" si="2"/>
        <v>9.72</v>
      </c>
      <c r="J20" s="155">
        <f t="shared" si="2"/>
        <v>151.39800000000002</v>
      </c>
      <c r="K20" s="155">
        <f t="shared" si="2"/>
        <v>197.82</v>
      </c>
    </row>
    <row r="21" spans="1:11" s="62" customFormat="1" ht="12.75">
      <c r="A21" s="143"/>
      <c r="B21" s="143" t="s">
        <v>107</v>
      </c>
      <c r="C21" s="143"/>
      <c r="D21" s="144"/>
      <c r="E21" s="144"/>
      <c r="F21" s="144"/>
      <c r="G21" s="144"/>
      <c r="H21" s="144"/>
      <c r="I21" s="144"/>
      <c r="J21" s="144"/>
      <c r="K21" s="144"/>
    </row>
    <row r="22" spans="1:13" ht="12.75">
      <c r="A22" s="81">
        <v>1</v>
      </c>
      <c r="B22" s="81" t="s">
        <v>275</v>
      </c>
      <c r="C22" s="81">
        <v>1</v>
      </c>
      <c r="D22" s="145">
        <v>90</v>
      </c>
      <c r="E22" s="154">
        <f>C22*D22</f>
        <v>90</v>
      </c>
      <c r="F22" s="154">
        <f>E22*$C$31</f>
        <v>9</v>
      </c>
      <c r="G22" s="154">
        <f>(E22-$C$35-F22)*$C$33</f>
        <v>6.234000000000001</v>
      </c>
      <c r="H22" s="154">
        <f>(E22-F22)*$C$32</f>
        <v>4.05</v>
      </c>
      <c r="I22" s="154">
        <f>(E22-F22)*$C$34-H22</f>
        <v>4.86</v>
      </c>
      <c r="J22" s="154">
        <f>E22-F22-G22</f>
        <v>74.766</v>
      </c>
      <c r="K22" s="155">
        <f>SUM(F22:J22)</f>
        <v>98.91000000000001</v>
      </c>
      <c r="M22" s="158"/>
    </row>
    <row r="23" spans="1:13" ht="12.75">
      <c r="A23" s="81">
        <v>2</v>
      </c>
      <c r="B23" s="81" t="s">
        <v>315</v>
      </c>
      <c r="C23" s="81">
        <v>1</v>
      </c>
      <c r="D23" s="145">
        <v>90</v>
      </c>
      <c r="E23" s="154">
        <f>C23*D23</f>
        <v>90</v>
      </c>
      <c r="F23" s="154">
        <f>E23*$C$31</f>
        <v>9</v>
      </c>
      <c r="G23" s="154">
        <f>(E23-$C$35-F23)*$C$33</f>
        <v>6.234000000000001</v>
      </c>
      <c r="H23" s="154">
        <f>(E23-F23)*$C$32</f>
        <v>4.05</v>
      </c>
      <c r="I23" s="154">
        <f>(E23-F23)*$C$34-H23</f>
        <v>4.86</v>
      </c>
      <c r="J23" s="154">
        <f>E23-F23-G23</f>
        <v>74.766</v>
      </c>
      <c r="K23" s="155">
        <f>SUM(F23:J23)</f>
        <v>98.91000000000001</v>
      </c>
      <c r="M23" s="158"/>
    </row>
    <row r="24" spans="1:13" ht="12.75">
      <c r="A24" s="81">
        <v>3</v>
      </c>
      <c r="B24" s="81" t="s">
        <v>250</v>
      </c>
      <c r="C24" s="81">
        <v>2</v>
      </c>
      <c r="D24" s="145">
        <v>90</v>
      </c>
      <c r="E24" s="154">
        <f>C24*D24</f>
        <v>180</v>
      </c>
      <c r="F24" s="154">
        <f>E24*$C$31</f>
        <v>18</v>
      </c>
      <c r="G24" s="154">
        <f>(E24-$C$35-F24)*$C$33</f>
        <v>14.334000000000001</v>
      </c>
      <c r="H24" s="154">
        <f>(E24-F24)*$C$32</f>
        <v>8.1</v>
      </c>
      <c r="I24" s="154">
        <f>(E24-F24)*$C$34-H24</f>
        <v>9.72</v>
      </c>
      <c r="J24" s="154">
        <f>E24-F24-G24</f>
        <v>147.666</v>
      </c>
      <c r="K24" s="155">
        <f>SUM(F24:J24)</f>
        <v>197.82</v>
      </c>
      <c r="M24" s="158"/>
    </row>
    <row r="25" spans="1:11" ht="12.75">
      <c r="A25" s="81">
        <v>4</v>
      </c>
      <c r="B25" s="81" t="s">
        <v>313</v>
      </c>
      <c r="C25" s="81">
        <v>2</v>
      </c>
      <c r="D25" s="145">
        <v>50</v>
      </c>
      <c r="E25" s="154">
        <f>C25*D25</f>
        <v>100</v>
      </c>
      <c r="F25" s="154">
        <f>E25*$C$31</f>
        <v>10</v>
      </c>
      <c r="G25" s="154">
        <f>(E25-$C$35-F25)*$C$33</f>
        <v>7.134</v>
      </c>
      <c r="H25" s="154">
        <f>(E25-F25)*$C$32</f>
        <v>4.5</v>
      </c>
      <c r="I25" s="154">
        <f>(E25-F25)*$C$34-H25</f>
        <v>5.4</v>
      </c>
      <c r="J25" s="154">
        <f>E25-F25-G25</f>
        <v>82.866</v>
      </c>
      <c r="K25" s="155">
        <f>SUM(F25:J25)</f>
        <v>109.9</v>
      </c>
    </row>
    <row r="26" spans="1:11" ht="12.75">
      <c r="A26" s="81">
        <v>5</v>
      </c>
      <c r="B26" s="81" t="s">
        <v>314</v>
      </c>
      <c r="C26" s="81">
        <v>1</v>
      </c>
      <c r="D26" s="145">
        <v>50</v>
      </c>
      <c r="E26" s="154">
        <f>C26*D26</f>
        <v>50</v>
      </c>
      <c r="F26" s="154">
        <f>E26*$C$31</f>
        <v>5</v>
      </c>
      <c r="G26" s="154">
        <f>(E26-$C$35-F26)*$C$33</f>
        <v>2.6340000000000003</v>
      </c>
      <c r="H26" s="154">
        <f>(E26-F26)*$C$32</f>
        <v>2.25</v>
      </c>
      <c r="I26" s="154">
        <f>(E26-F26)*$C$34-H26</f>
        <v>2.7</v>
      </c>
      <c r="J26" s="154">
        <f>E26-F26-G26</f>
        <v>42.366</v>
      </c>
      <c r="K26" s="155">
        <f>SUM(F26:J26)</f>
        <v>54.95</v>
      </c>
    </row>
    <row r="27" spans="1:11" s="62" customFormat="1" ht="12.75">
      <c r="A27" s="156"/>
      <c r="B27" s="157" t="s">
        <v>0</v>
      </c>
      <c r="C27" s="156">
        <f aca="true" t="shared" si="3" ref="C27:K27">SUM(C22:C26)</f>
        <v>7</v>
      </c>
      <c r="D27" s="155">
        <f t="shared" si="3"/>
        <v>370</v>
      </c>
      <c r="E27" s="155">
        <f t="shared" si="3"/>
        <v>510</v>
      </c>
      <c r="F27" s="155">
        <f t="shared" si="3"/>
        <v>51</v>
      </c>
      <c r="G27" s="155">
        <f t="shared" si="3"/>
        <v>36.57000000000001</v>
      </c>
      <c r="H27" s="155">
        <f t="shared" si="3"/>
        <v>22.95</v>
      </c>
      <c r="I27" s="155">
        <f t="shared" si="3"/>
        <v>27.540000000000003</v>
      </c>
      <c r="J27" s="155">
        <f t="shared" si="3"/>
        <v>422.42999999999995</v>
      </c>
      <c r="K27" s="155">
        <f t="shared" si="3"/>
        <v>560.49</v>
      </c>
    </row>
    <row r="28" spans="1:11" ht="12.75">
      <c r="A28" s="81"/>
      <c r="B28" s="81"/>
      <c r="C28" s="81"/>
      <c r="D28" s="154"/>
      <c r="E28" s="154"/>
      <c r="F28" s="154"/>
      <c r="G28" s="154"/>
      <c r="H28" s="154"/>
      <c r="I28" s="154"/>
      <c r="J28" s="154"/>
      <c r="K28" s="154"/>
    </row>
    <row r="29" spans="1:13" s="62" customFormat="1" ht="12.75">
      <c r="A29" s="156"/>
      <c r="B29" s="156" t="s">
        <v>108</v>
      </c>
      <c r="C29" s="155">
        <f aca="true" t="shared" si="4" ref="C29:K29">C10+C15+C20+C27</f>
        <v>33</v>
      </c>
      <c r="D29" s="155">
        <f t="shared" si="4"/>
        <v>1495</v>
      </c>
      <c r="E29" s="155">
        <f t="shared" si="4"/>
        <v>3305</v>
      </c>
      <c r="F29" s="155">
        <f t="shared" si="4"/>
        <v>330.5</v>
      </c>
      <c r="G29" s="155">
        <f t="shared" si="4"/>
        <v>269.46</v>
      </c>
      <c r="H29" s="155">
        <f t="shared" si="4"/>
        <v>148.725</v>
      </c>
      <c r="I29" s="155">
        <f t="shared" si="4"/>
        <v>178.47000000000003</v>
      </c>
      <c r="J29" s="155">
        <f t="shared" si="4"/>
        <v>2705.04</v>
      </c>
      <c r="K29" s="159">
        <f t="shared" si="4"/>
        <v>3632.1950000000006</v>
      </c>
      <c r="M29" s="249"/>
    </row>
    <row r="31" spans="2:10" ht="12.75" hidden="1">
      <c r="B31" s="81" t="s">
        <v>47</v>
      </c>
      <c r="C31" s="160">
        <f>Исх!C12</f>
        <v>0.1</v>
      </c>
      <c r="D31" s="161"/>
      <c r="E31" s="161"/>
      <c r="F31" s="161"/>
      <c r="G31" s="362"/>
      <c r="H31" s="362"/>
      <c r="I31" s="362"/>
      <c r="J31" s="362"/>
    </row>
    <row r="32" spans="2:10" ht="12.75" hidden="1">
      <c r="B32" s="81" t="s">
        <v>52</v>
      </c>
      <c r="C32" s="160">
        <f>Исх!C13</f>
        <v>0.05</v>
      </c>
      <c r="D32" s="161"/>
      <c r="E32" s="161"/>
      <c r="F32" s="161"/>
      <c r="G32" s="161"/>
      <c r="H32" s="161"/>
      <c r="I32" s="162"/>
      <c r="J32" s="163"/>
    </row>
    <row r="33" spans="2:10" ht="12.75" hidden="1">
      <c r="B33" s="81" t="s">
        <v>48</v>
      </c>
      <c r="C33" s="160">
        <f>Исх!C14</f>
        <v>0.1</v>
      </c>
      <c r="D33" s="161"/>
      <c r="E33" s="161"/>
      <c r="F33" s="161"/>
      <c r="G33" s="161"/>
      <c r="H33" s="161"/>
      <c r="I33" s="162"/>
      <c r="J33" s="163"/>
    </row>
    <row r="34" spans="2:10" ht="12.75" hidden="1">
      <c r="B34" s="81" t="s">
        <v>50</v>
      </c>
      <c r="C34" s="160">
        <f>Исх!C15</f>
        <v>0.11</v>
      </c>
      <c r="D34" s="164"/>
      <c r="E34" s="164"/>
      <c r="F34" s="161"/>
      <c r="G34" s="161"/>
      <c r="H34" s="161"/>
      <c r="I34" s="162"/>
      <c r="J34" s="163"/>
    </row>
    <row r="35" spans="2:3" ht="12.75" hidden="1">
      <c r="B35" s="81" t="s">
        <v>112</v>
      </c>
      <c r="C35" s="165">
        <f>Исх!C16</f>
        <v>18.66</v>
      </c>
    </row>
    <row r="36" spans="7:10" ht="12.75">
      <c r="G36" s="161"/>
      <c r="H36" s="161"/>
      <c r="I36" s="162"/>
      <c r="J36" s="163"/>
    </row>
    <row r="37" ht="12.75">
      <c r="C37" s="201"/>
    </row>
  </sheetData>
  <sheetProtection/>
  <mergeCells count="1">
    <mergeCell ref="G31:J31"/>
  </mergeCells>
  <printOptions/>
  <pageMargins left="0.2755905511811024" right="0.2755905511811024" top="0.5" bottom="0.35433070866141736" header="0.2362204724409449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X55"/>
  <sheetViews>
    <sheetView showGridLines="0" zoomScalePageLayoutView="0" workbookViewId="0" topLeftCell="A1">
      <pane ySplit="4" topLeftCell="A5" activePane="bottomLeft" state="frozen"/>
      <selection pane="topLeft" activeCell="A34" sqref="A34"/>
      <selection pane="bottomLeft" activeCell="K24" sqref="K24"/>
    </sheetView>
  </sheetViews>
  <sheetFormatPr defaultColWidth="8.875" defaultRowHeight="12.75" outlineLevelRow="1"/>
  <cols>
    <col min="1" max="1" width="33.625" style="78" customWidth="1"/>
    <col min="2" max="2" width="5.125" style="78" customWidth="1"/>
    <col min="3" max="3" width="9.125" style="78" customWidth="1"/>
    <col min="4" max="9" width="7.625" style="78" bestFit="1" customWidth="1"/>
    <col min="10" max="10" width="7.25390625" style="78" customWidth="1"/>
    <col min="11" max="11" width="34.00390625" style="78" customWidth="1"/>
    <col min="12" max="12" width="8.75390625" style="78" customWidth="1"/>
    <col min="13" max="13" width="36.625" style="78" customWidth="1"/>
    <col min="14" max="14" width="5.25390625" style="78" bestFit="1" customWidth="1"/>
    <col min="15" max="22" width="8.25390625" style="78" customWidth="1"/>
    <col min="23" max="16384" width="8.875" style="78" customWidth="1"/>
  </cols>
  <sheetData>
    <row r="1" spans="1:23" ht="12.75">
      <c r="A1" s="62" t="s">
        <v>147</v>
      </c>
      <c r="M1" s="62" t="s">
        <v>264</v>
      </c>
      <c r="W1" s="62"/>
    </row>
    <row r="2" spans="1:23" ht="12.75">
      <c r="A2" s="62"/>
      <c r="B2" s="62"/>
      <c r="C2" s="78" t="s">
        <v>304</v>
      </c>
      <c r="E2" s="302">
        <v>0.05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3:20" ht="12.75">
      <c r="C3" s="140"/>
      <c r="D3" s="140"/>
      <c r="E3" s="140"/>
      <c r="F3" s="140"/>
      <c r="G3" s="140"/>
      <c r="H3" s="140"/>
      <c r="J3" s="147" t="str">
        <f>Исх!C10</f>
        <v>тыс.тг.</v>
      </c>
      <c r="O3" s="140"/>
      <c r="P3" s="140"/>
      <c r="Q3" s="140"/>
      <c r="R3" s="140"/>
      <c r="S3" s="140"/>
      <c r="T3" s="140"/>
    </row>
    <row r="4" spans="1:23" ht="12.75">
      <c r="A4" s="217" t="s">
        <v>44</v>
      </c>
      <c r="B4" s="233"/>
      <c r="C4" s="233" t="s">
        <v>8</v>
      </c>
      <c r="D4" s="233">
        <v>2014</v>
      </c>
      <c r="E4" s="233">
        <f aca="true" t="shared" si="0" ref="E4:J4">D4+1</f>
        <v>2015</v>
      </c>
      <c r="F4" s="233">
        <f t="shared" si="0"/>
        <v>2016</v>
      </c>
      <c r="G4" s="233">
        <f t="shared" si="0"/>
        <v>2017</v>
      </c>
      <c r="H4" s="233">
        <f t="shared" si="0"/>
        <v>2018</v>
      </c>
      <c r="I4" s="233">
        <f t="shared" si="0"/>
        <v>2019</v>
      </c>
      <c r="J4" s="233">
        <f t="shared" si="0"/>
        <v>2020</v>
      </c>
      <c r="K4" s="233" t="s">
        <v>208</v>
      </c>
      <c r="M4" s="217" t="str">
        <f aca="true" t="shared" si="1" ref="M4:M21">A4</f>
        <v>Затраты</v>
      </c>
      <c r="N4" s="233"/>
      <c r="O4" s="233" t="str">
        <f aca="true" t="shared" si="2" ref="O4:V4">C4</f>
        <v>Значение</v>
      </c>
      <c r="P4" s="233">
        <f t="shared" si="2"/>
        <v>2014</v>
      </c>
      <c r="Q4" s="233">
        <f t="shared" si="2"/>
        <v>2015</v>
      </c>
      <c r="R4" s="233">
        <f t="shared" si="2"/>
        <v>2016</v>
      </c>
      <c r="S4" s="233">
        <f t="shared" si="2"/>
        <v>2017</v>
      </c>
      <c r="T4" s="233">
        <f t="shared" si="2"/>
        <v>2018</v>
      </c>
      <c r="U4" s="233">
        <f t="shared" si="2"/>
        <v>2019</v>
      </c>
      <c r="V4" s="233">
        <f t="shared" si="2"/>
        <v>2020</v>
      </c>
      <c r="W4" s="249"/>
    </row>
    <row r="5" spans="1:22" ht="12.75">
      <c r="A5" s="81" t="s">
        <v>45</v>
      </c>
      <c r="B5" s="146"/>
      <c r="C5" s="154">
        <f>ФОТ!$K$29</f>
        <v>3632.1950000000006</v>
      </c>
      <c r="D5" s="154">
        <f>ФОТ!$K$29</f>
        <v>3632.1950000000006</v>
      </c>
      <c r="E5" s="154">
        <f aca="true" t="shared" si="3" ref="E5:E20">D5+D5*$E$2</f>
        <v>3813.8047500000007</v>
      </c>
      <c r="F5" s="154">
        <f>E5+E5*$E$2</f>
        <v>4004.4949875000007</v>
      </c>
      <c r="G5" s="154">
        <f>F5+F5*$E$2</f>
        <v>4204.719736875</v>
      </c>
      <c r="H5" s="154">
        <f>G5+G5*$E$2</f>
        <v>4414.95572371875</v>
      </c>
      <c r="I5" s="154">
        <f>H5+H5*$E$2</f>
        <v>4635.703509904688</v>
      </c>
      <c r="J5" s="154">
        <f>I5+I5*$E$2</f>
        <v>4867.488685399922</v>
      </c>
      <c r="K5" s="154"/>
      <c r="M5" s="81" t="str">
        <f t="shared" si="1"/>
        <v>ФОТ</v>
      </c>
      <c r="N5" s="146"/>
      <c r="O5" s="154">
        <f aca="true" t="shared" si="4" ref="O5:O20">C5*12</f>
        <v>43586.34000000001</v>
      </c>
      <c r="P5" s="154">
        <f aca="true" t="shared" si="5" ref="P5:P20">D5*12</f>
        <v>43586.34000000001</v>
      </c>
      <c r="Q5" s="154">
        <f aca="true" t="shared" si="6" ref="Q5:Q20">E5*12</f>
        <v>45765.65700000001</v>
      </c>
      <c r="R5" s="154">
        <f aca="true" t="shared" si="7" ref="R5:R20">F5*12</f>
        <v>48053.93985000001</v>
      </c>
      <c r="S5" s="154">
        <f aca="true" t="shared" si="8" ref="S5:S20">G5*12</f>
        <v>50456.636842500004</v>
      </c>
      <c r="T5" s="154">
        <f aca="true" t="shared" si="9" ref="T5:T20">H5*12</f>
        <v>52979.468684625</v>
      </c>
      <c r="U5" s="154">
        <f aca="true" t="shared" si="10" ref="U5:U20">I5*12</f>
        <v>55628.442118856256</v>
      </c>
      <c r="V5" s="154">
        <f aca="true" t="shared" si="11" ref="V5:V20">J5*12</f>
        <v>58409.864224799065</v>
      </c>
    </row>
    <row r="6" spans="1:22" ht="12.75">
      <c r="A6" s="167" t="s">
        <v>276</v>
      </c>
      <c r="B6" s="232"/>
      <c r="C6" s="146"/>
      <c r="D6" s="154">
        <f>Исх!$C$46*Производство!AC6*Исх!$C$37/Исх!$C$19/1000</f>
        <v>279.81763333333333</v>
      </c>
      <c r="E6" s="154">
        <f>Исх!$C$46*Производство!AP6*Исх!$C$37/Исх!$C$19/1000</f>
        <v>417.0358958333334</v>
      </c>
      <c r="F6" s="154">
        <f>Исх!$C$46*Производство!AQ6*Исх!$C$37/Исх!$C$19/1000</f>
        <v>452.01309999999995</v>
      </c>
      <c r="G6" s="154">
        <f>Исх!$C$46*Производство!AR6*Исх!$C$37/Исх!$C$19/1000</f>
        <v>484.2997500000001</v>
      </c>
      <c r="H6" s="154">
        <f>Исх!$C$46*Производство!AS6*Исх!$C$37/Исх!$C$19/1000</f>
        <v>516.5863999999999</v>
      </c>
      <c r="I6" s="154">
        <f>Исх!$C$46*Производство!AT6*Исх!$C$37/Исх!$C$19/1000</f>
        <v>548.87305</v>
      </c>
      <c r="J6" s="154">
        <f>Исх!$C$46*Производство!AU6*Исх!$C$37/Исх!$C$19/1000</f>
        <v>581.1596999999999</v>
      </c>
      <c r="K6" s="293" t="s">
        <v>376</v>
      </c>
      <c r="M6" s="81" t="str">
        <f t="shared" si="1"/>
        <v>Электроэнергия</v>
      </c>
      <c r="N6" s="232"/>
      <c r="O6" s="154">
        <f t="shared" si="4"/>
        <v>0</v>
      </c>
      <c r="P6" s="154">
        <f t="shared" si="5"/>
        <v>3357.8116</v>
      </c>
      <c r="Q6" s="154">
        <f t="shared" si="6"/>
        <v>5004.430750000001</v>
      </c>
      <c r="R6" s="154">
        <f t="shared" si="7"/>
        <v>5424.1572</v>
      </c>
      <c r="S6" s="154">
        <f t="shared" si="8"/>
        <v>5811.597000000001</v>
      </c>
      <c r="T6" s="154">
        <f t="shared" si="9"/>
        <v>6199.036799999999</v>
      </c>
      <c r="U6" s="154">
        <f t="shared" si="10"/>
        <v>6586.4766</v>
      </c>
      <c r="V6" s="154">
        <f t="shared" si="11"/>
        <v>6973.916399999999</v>
      </c>
    </row>
    <row r="7" spans="1:22" ht="12.75">
      <c r="A7" s="167" t="s">
        <v>214</v>
      </c>
      <c r="B7" s="232"/>
      <c r="C7" s="145">
        <v>25</v>
      </c>
      <c r="D7" s="154">
        <f aca="true" t="shared" si="12" ref="D7:D20">C7</f>
        <v>25</v>
      </c>
      <c r="E7" s="154">
        <f t="shared" si="3"/>
        <v>26.25</v>
      </c>
      <c r="F7" s="154">
        <f aca="true" t="shared" si="13" ref="F7:J8">E7+E7*$E$2</f>
        <v>27.5625</v>
      </c>
      <c r="G7" s="154">
        <f t="shared" si="13"/>
        <v>28.940625</v>
      </c>
      <c r="H7" s="154">
        <f t="shared" si="13"/>
        <v>30.38765625</v>
      </c>
      <c r="I7" s="154">
        <f t="shared" si="13"/>
        <v>31.907039062499997</v>
      </c>
      <c r="J7" s="154">
        <f t="shared" si="13"/>
        <v>33.502391015624994</v>
      </c>
      <c r="K7" s="154" t="s">
        <v>277</v>
      </c>
      <c r="M7" s="81" t="str">
        <f t="shared" si="1"/>
        <v>Коммунальные расходы</v>
      </c>
      <c r="N7" s="232"/>
      <c r="O7" s="154">
        <f t="shared" si="4"/>
        <v>300</v>
      </c>
      <c r="P7" s="154">
        <f t="shared" si="5"/>
        <v>300</v>
      </c>
      <c r="Q7" s="154">
        <f t="shared" si="6"/>
        <v>315</v>
      </c>
      <c r="R7" s="154">
        <f t="shared" si="7"/>
        <v>330.75</v>
      </c>
      <c r="S7" s="154">
        <f t="shared" si="8"/>
        <v>347.2875</v>
      </c>
      <c r="T7" s="154">
        <f t="shared" si="9"/>
        <v>364.651875</v>
      </c>
      <c r="U7" s="154">
        <f t="shared" si="10"/>
        <v>382.88446875</v>
      </c>
      <c r="V7" s="154">
        <f t="shared" si="11"/>
        <v>402.0286921874999</v>
      </c>
    </row>
    <row r="8" spans="1:22" ht="12.75">
      <c r="A8" s="294" t="s">
        <v>266</v>
      </c>
      <c r="B8" s="295"/>
      <c r="C8" s="263">
        <v>250</v>
      </c>
      <c r="D8" s="116">
        <f>C8</f>
        <v>250</v>
      </c>
      <c r="E8" s="116">
        <f>D8+D8*$E$2</f>
        <v>262.5</v>
      </c>
      <c r="F8" s="116">
        <f t="shared" si="13"/>
        <v>275.625</v>
      </c>
      <c r="G8" s="116">
        <f t="shared" si="13"/>
        <v>289.40625</v>
      </c>
      <c r="H8" s="116">
        <f t="shared" si="13"/>
        <v>303.8765625</v>
      </c>
      <c r="I8" s="116">
        <f t="shared" si="13"/>
        <v>319.07039062499996</v>
      </c>
      <c r="J8" s="116">
        <f t="shared" si="13"/>
        <v>335.02391015624994</v>
      </c>
      <c r="K8" s="293"/>
      <c r="M8" s="115" t="str">
        <f t="shared" si="1"/>
        <v>Теплоэнергия</v>
      </c>
      <c r="N8" s="295"/>
      <c r="O8" s="154">
        <f t="shared" si="4"/>
        <v>3000</v>
      </c>
      <c r="P8" s="154">
        <f t="shared" si="5"/>
        <v>3000</v>
      </c>
      <c r="Q8" s="154">
        <f t="shared" si="6"/>
        <v>3150</v>
      </c>
      <c r="R8" s="154">
        <f t="shared" si="7"/>
        <v>3307.5</v>
      </c>
      <c r="S8" s="154">
        <f t="shared" si="8"/>
        <v>3472.875</v>
      </c>
      <c r="T8" s="154">
        <f t="shared" si="9"/>
        <v>3646.5187499999997</v>
      </c>
      <c r="U8" s="154">
        <f t="shared" si="10"/>
        <v>3828.8446874999995</v>
      </c>
      <c r="V8" s="154">
        <f t="shared" si="11"/>
        <v>4020.2869218749993</v>
      </c>
    </row>
    <row r="9" spans="1:22" ht="12.75">
      <c r="A9" s="294" t="s">
        <v>309</v>
      </c>
      <c r="B9" s="295"/>
      <c r="C9" s="263">
        <v>70</v>
      </c>
      <c r="D9" s="116">
        <f t="shared" si="12"/>
        <v>70</v>
      </c>
      <c r="E9" s="116">
        <f t="shared" si="3"/>
        <v>73.5</v>
      </c>
      <c r="F9" s="116">
        <f aca="true" t="shared" si="14" ref="F9:J16">E9+E9*$E$2</f>
        <v>77.175</v>
      </c>
      <c r="G9" s="116">
        <f t="shared" si="14"/>
        <v>81.03375</v>
      </c>
      <c r="H9" s="116">
        <f t="shared" si="14"/>
        <v>85.0854375</v>
      </c>
      <c r="I9" s="116">
        <f t="shared" si="14"/>
        <v>89.339709375</v>
      </c>
      <c r="J9" s="116">
        <f t="shared" si="14"/>
        <v>93.80669484375</v>
      </c>
      <c r="K9" s="293" t="s">
        <v>310</v>
      </c>
      <c r="M9" s="115" t="str">
        <f t="shared" si="1"/>
        <v>Услуги охранной фирмы</v>
      </c>
      <c r="N9" s="295"/>
      <c r="O9" s="154">
        <f t="shared" si="4"/>
        <v>840</v>
      </c>
      <c r="P9" s="154">
        <f t="shared" si="5"/>
        <v>840</v>
      </c>
      <c r="Q9" s="154">
        <f t="shared" si="6"/>
        <v>882</v>
      </c>
      <c r="R9" s="154">
        <f t="shared" si="7"/>
        <v>926.0999999999999</v>
      </c>
      <c r="S9" s="154">
        <f t="shared" si="8"/>
        <v>972.405</v>
      </c>
      <c r="T9" s="154">
        <f t="shared" si="9"/>
        <v>1021.0252499999999</v>
      </c>
      <c r="U9" s="154">
        <f t="shared" si="10"/>
        <v>1072.0765125</v>
      </c>
      <c r="V9" s="154">
        <f t="shared" si="11"/>
        <v>1125.680338125</v>
      </c>
    </row>
    <row r="10" spans="1:22" ht="12.75">
      <c r="A10" s="167" t="s">
        <v>252</v>
      </c>
      <c r="B10" s="146"/>
      <c r="C10" s="145">
        <v>30</v>
      </c>
      <c r="D10" s="154">
        <f t="shared" si="12"/>
        <v>30</v>
      </c>
      <c r="E10" s="154">
        <f t="shared" si="3"/>
        <v>31.5</v>
      </c>
      <c r="F10" s="154">
        <f t="shared" si="14"/>
        <v>33.075</v>
      </c>
      <c r="G10" s="154">
        <f t="shared" si="14"/>
        <v>34.728750000000005</v>
      </c>
      <c r="H10" s="154">
        <f t="shared" si="14"/>
        <v>36.465187500000006</v>
      </c>
      <c r="I10" s="154">
        <f t="shared" si="14"/>
        <v>38.288446875000005</v>
      </c>
      <c r="J10" s="154">
        <f t="shared" si="14"/>
        <v>40.20286921875</v>
      </c>
      <c r="K10" s="154"/>
      <c r="M10" s="81" t="str">
        <f t="shared" si="1"/>
        <v>Спецодежда, перчатки, хоз.товары</v>
      </c>
      <c r="N10" s="146"/>
      <c r="O10" s="154">
        <f t="shared" si="4"/>
        <v>360</v>
      </c>
      <c r="P10" s="154">
        <f t="shared" si="5"/>
        <v>360</v>
      </c>
      <c r="Q10" s="154">
        <f t="shared" si="6"/>
        <v>378</v>
      </c>
      <c r="R10" s="154">
        <f t="shared" si="7"/>
        <v>396.90000000000003</v>
      </c>
      <c r="S10" s="154">
        <f t="shared" si="8"/>
        <v>416.74500000000006</v>
      </c>
      <c r="T10" s="154">
        <f t="shared" si="9"/>
        <v>437.58225000000004</v>
      </c>
      <c r="U10" s="154">
        <f t="shared" si="10"/>
        <v>459.46136250000006</v>
      </c>
      <c r="V10" s="154">
        <f t="shared" si="11"/>
        <v>482.434430625</v>
      </c>
    </row>
    <row r="11" spans="1:22" ht="12.75">
      <c r="A11" s="81" t="s">
        <v>205</v>
      </c>
      <c r="B11" s="146"/>
      <c r="C11" s="145">
        <v>10</v>
      </c>
      <c r="D11" s="154">
        <f t="shared" si="12"/>
        <v>10</v>
      </c>
      <c r="E11" s="154">
        <f t="shared" si="3"/>
        <v>10.5</v>
      </c>
      <c r="F11" s="154">
        <f t="shared" si="14"/>
        <v>11.025</v>
      </c>
      <c r="G11" s="154">
        <f t="shared" si="14"/>
        <v>11.57625</v>
      </c>
      <c r="H11" s="154">
        <f t="shared" si="14"/>
        <v>12.1550625</v>
      </c>
      <c r="I11" s="154">
        <f t="shared" si="14"/>
        <v>12.762815625</v>
      </c>
      <c r="J11" s="154">
        <f t="shared" si="14"/>
        <v>13.40095640625</v>
      </c>
      <c r="K11" s="154"/>
      <c r="M11" s="81" t="str">
        <f t="shared" si="1"/>
        <v>Хоз.товары</v>
      </c>
      <c r="N11" s="146"/>
      <c r="O11" s="154">
        <f t="shared" si="4"/>
        <v>120</v>
      </c>
      <c r="P11" s="154">
        <f t="shared" si="5"/>
        <v>120</v>
      </c>
      <c r="Q11" s="154">
        <f t="shared" si="6"/>
        <v>126</v>
      </c>
      <c r="R11" s="154">
        <f t="shared" si="7"/>
        <v>132.3</v>
      </c>
      <c r="S11" s="154">
        <f t="shared" si="8"/>
        <v>138.915</v>
      </c>
      <c r="T11" s="154">
        <f t="shared" si="9"/>
        <v>145.86075</v>
      </c>
      <c r="U11" s="154">
        <f t="shared" si="10"/>
        <v>153.1537875</v>
      </c>
      <c r="V11" s="154">
        <f t="shared" si="11"/>
        <v>160.81147687499998</v>
      </c>
    </row>
    <row r="12" spans="1:22" ht="12.75">
      <c r="A12" s="81" t="s">
        <v>100</v>
      </c>
      <c r="B12" s="146"/>
      <c r="C12" s="145">
        <v>15</v>
      </c>
      <c r="D12" s="154">
        <f t="shared" si="12"/>
        <v>15</v>
      </c>
      <c r="E12" s="154">
        <f t="shared" si="3"/>
        <v>15.75</v>
      </c>
      <c r="F12" s="154">
        <f t="shared" si="14"/>
        <v>16.5375</v>
      </c>
      <c r="G12" s="154">
        <f t="shared" si="14"/>
        <v>17.364375000000003</v>
      </c>
      <c r="H12" s="154">
        <f t="shared" si="14"/>
        <v>18.232593750000003</v>
      </c>
      <c r="I12" s="154">
        <f t="shared" si="14"/>
        <v>19.144223437500003</v>
      </c>
      <c r="J12" s="154">
        <f t="shared" si="14"/>
        <v>20.101434609375</v>
      </c>
      <c r="K12" s="154"/>
      <c r="M12" s="81" t="str">
        <f t="shared" si="1"/>
        <v>Обслуживание и ремонт ОС</v>
      </c>
      <c r="N12" s="146"/>
      <c r="O12" s="154">
        <f t="shared" si="4"/>
        <v>180</v>
      </c>
      <c r="P12" s="154">
        <f t="shared" si="5"/>
        <v>180</v>
      </c>
      <c r="Q12" s="154">
        <f t="shared" si="6"/>
        <v>189</v>
      </c>
      <c r="R12" s="154">
        <f t="shared" si="7"/>
        <v>198.45000000000002</v>
      </c>
      <c r="S12" s="154">
        <f t="shared" si="8"/>
        <v>208.37250000000003</v>
      </c>
      <c r="T12" s="154">
        <f t="shared" si="9"/>
        <v>218.79112500000002</v>
      </c>
      <c r="U12" s="154">
        <f t="shared" si="10"/>
        <v>229.73068125000003</v>
      </c>
      <c r="V12" s="154">
        <f t="shared" si="11"/>
        <v>241.2172153125</v>
      </c>
    </row>
    <row r="13" spans="1:22" ht="12.75">
      <c r="A13" s="81" t="s">
        <v>245</v>
      </c>
      <c r="B13" s="146"/>
      <c r="C13" s="145">
        <f>20*30*120/1000</f>
        <v>72</v>
      </c>
      <c r="D13" s="154">
        <f t="shared" si="12"/>
        <v>72</v>
      </c>
      <c r="E13" s="154">
        <f t="shared" si="3"/>
        <v>75.6</v>
      </c>
      <c r="F13" s="154">
        <f t="shared" si="14"/>
        <v>79.38</v>
      </c>
      <c r="G13" s="154">
        <f t="shared" si="14"/>
        <v>83.34899999999999</v>
      </c>
      <c r="H13" s="154">
        <f t="shared" si="14"/>
        <v>87.51644999999999</v>
      </c>
      <c r="I13" s="154">
        <f t="shared" si="14"/>
        <v>91.89227249999999</v>
      </c>
      <c r="J13" s="154">
        <f t="shared" si="14"/>
        <v>96.48688612499998</v>
      </c>
      <c r="K13" s="154" t="s">
        <v>375</v>
      </c>
      <c r="M13" s="81" t="str">
        <f t="shared" si="1"/>
        <v>ГСМ</v>
      </c>
      <c r="N13" s="146"/>
      <c r="O13" s="154">
        <f t="shared" si="4"/>
        <v>864</v>
      </c>
      <c r="P13" s="154">
        <f t="shared" si="5"/>
        <v>864</v>
      </c>
      <c r="Q13" s="154">
        <f t="shared" si="6"/>
        <v>907.1999999999999</v>
      </c>
      <c r="R13" s="154">
        <f t="shared" si="7"/>
        <v>952.56</v>
      </c>
      <c r="S13" s="154">
        <f t="shared" si="8"/>
        <v>1000.1879999999999</v>
      </c>
      <c r="T13" s="154">
        <f t="shared" si="9"/>
        <v>1050.1974</v>
      </c>
      <c r="U13" s="154">
        <f t="shared" si="10"/>
        <v>1102.7072699999999</v>
      </c>
      <c r="V13" s="154">
        <f t="shared" si="11"/>
        <v>1157.8426335</v>
      </c>
    </row>
    <row r="14" spans="1:22" ht="12.75">
      <c r="A14" s="81" t="s">
        <v>253</v>
      </c>
      <c r="B14" s="146"/>
      <c r="C14" s="145">
        <f>25</f>
        <v>25</v>
      </c>
      <c r="D14" s="154">
        <f t="shared" si="12"/>
        <v>25</v>
      </c>
      <c r="E14" s="154">
        <f t="shared" si="3"/>
        <v>26.25</v>
      </c>
      <c r="F14" s="154">
        <f t="shared" si="14"/>
        <v>27.5625</v>
      </c>
      <c r="G14" s="154">
        <f t="shared" si="14"/>
        <v>28.940625</v>
      </c>
      <c r="H14" s="154">
        <f t="shared" si="14"/>
        <v>30.38765625</v>
      </c>
      <c r="I14" s="154">
        <f t="shared" si="14"/>
        <v>31.907039062499997</v>
      </c>
      <c r="J14" s="154">
        <f t="shared" si="14"/>
        <v>33.502391015624994</v>
      </c>
      <c r="K14" s="154" t="s">
        <v>305</v>
      </c>
      <c r="M14" s="81" t="str">
        <f t="shared" si="1"/>
        <v>Услуги банка</v>
      </c>
      <c r="N14" s="146"/>
      <c r="O14" s="154">
        <f t="shared" si="4"/>
        <v>300</v>
      </c>
      <c r="P14" s="154">
        <f t="shared" si="5"/>
        <v>300</v>
      </c>
      <c r="Q14" s="154">
        <f t="shared" si="6"/>
        <v>315</v>
      </c>
      <c r="R14" s="154">
        <f t="shared" si="7"/>
        <v>330.75</v>
      </c>
      <c r="S14" s="154">
        <f t="shared" si="8"/>
        <v>347.2875</v>
      </c>
      <c r="T14" s="154">
        <f t="shared" si="9"/>
        <v>364.651875</v>
      </c>
      <c r="U14" s="154">
        <f t="shared" si="10"/>
        <v>382.88446875</v>
      </c>
      <c r="V14" s="154">
        <f t="shared" si="11"/>
        <v>402.0286921874999</v>
      </c>
    </row>
    <row r="15" spans="1:22" ht="12.75">
      <c r="A15" s="81" t="s">
        <v>254</v>
      </c>
      <c r="B15" s="146"/>
      <c r="C15" s="145">
        <v>50</v>
      </c>
      <c r="D15" s="154">
        <f t="shared" si="12"/>
        <v>50</v>
      </c>
      <c r="E15" s="154">
        <f t="shared" si="3"/>
        <v>52.5</v>
      </c>
      <c r="F15" s="154">
        <f t="shared" si="14"/>
        <v>55.125</v>
      </c>
      <c r="G15" s="154">
        <f t="shared" si="14"/>
        <v>57.88125</v>
      </c>
      <c r="H15" s="154">
        <f t="shared" si="14"/>
        <v>60.7753125</v>
      </c>
      <c r="I15" s="154">
        <f t="shared" si="14"/>
        <v>63.814078124999995</v>
      </c>
      <c r="J15" s="154">
        <f t="shared" si="14"/>
        <v>67.00478203124999</v>
      </c>
      <c r="K15" s="154"/>
      <c r="M15" s="81" t="str">
        <f t="shared" si="1"/>
        <v>Командировочные расходы</v>
      </c>
      <c r="N15" s="146"/>
      <c r="O15" s="154">
        <f t="shared" si="4"/>
        <v>600</v>
      </c>
      <c r="P15" s="154">
        <f t="shared" si="5"/>
        <v>600</v>
      </c>
      <c r="Q15" s="154">
        <f t="shared" si="6"/>
        <v>630</v>
      </c>
      <c r="R15" s="154">
        <f t="shared" si="7"/>
        <v>661.5</v>
      </c>
      <c r="S15" s="154">
        <f t="shared" si="8"/>
        <v>694.575</v>
      </c>
      <c r="T15" s="154">
        <f t="shared" si="9"/>
        <v>729.30375</v>
      </c>
      <c r="U15" s="154">
        <f t="shared" si="10"/>
        <v>765.7689375</v>
      </c>
      <c r="V15" s="154">
        <f t="shared" si="11"/>
        <v>804.0573843749999</v>
      </c>
    </row>
    <row r="16" spans="1:22" ht="12.75">
      <c r="A16" s="81" t="s">
        <v>255</v>
      </c>
      <c r="B16" s="146"/>
      <c r="C16" s="145">
        <v>10</v>
      </c>
      <c r="D16" s="154">
        <f t="shared" si="12"/>
        <v>10</v>
      </c>
      <c r="E16" s="154">
        <f t="shared" si="3"/>
        <v>10.5</v>
      </c>
      <c r="F16" s="154">
        <f t="shared" si="14"/>
        <v>11.025</v>
      </c>
      <c r="G16" s="154">
        <f t="shared" si="14"/>
        <v>11.57625</v>
      </c>
      <c r="H16" s="154">
        <f t="shared" si="14"/>
        <v>12.1550625</v>
      </c>
      <c r="I16" s="154">
        <f t="shared" si="14"/>
        <v>12.762815625</v>
      </c>
      <c r="J16" s="154">
        <f t="shared" si="14"/>
        <v>13.40095640625</v>
      </c>
      <c r="K16" s="154"/>
      <c r="M16" s="81" t="str">
        <f t="shared" si="1"/>
        <v>Канц.товары</v>
      </c>
      <c r="N16" s="146"/>
      <c r="O16" s="154">
        <f t="shared" si="4"/>
        <v>120</v>
      </c>
      <c r="P16" s="154">
        <f t="shared" si="5"/>
        <v>120</v>
      </c>
      <c r="Q16" s="154">
        <f t="shared" si="6"/>
        <v>126</v>
      </c>
      <c r="R16" s="154">
        <f t="shared" si="7"/>
        <v>132.3</v>
      </c>
      <c r="S16" s="154">
        <f t="shared" si="8"/>
        <v>138.915</v>
      </c>
      <c r="T16" s="154">
        <f t="shared" si="9"/>
        <v>145.86075</v>
      </c>
      <c r="U16" s="154">
        <f t="shared" si="10"/>
        <v>153.1537875</v>
      </c>
      <c r="V16" s="154">
        <f t="shared" si="11"/>
        <v>160.81147687499998</v>
      </c>
    </row>
    <row r="17" spans="1:22" ht="12.75">
      <c r="A17" s="81" t="s">
        <v>256</v>
      </c>
      <c r="B17" s="146"/>
      <c r="C17" s="145">
        <v>50</v>
      </c>
      <c r="D17" s="154">
        <f t="shared" si="12"/>
        <v>50</v>
      </c>
      <c r="E17" s="154">
        <f t="shared" si="3"/>
        <v>52.5</v>
      </c>
      <c r="F17" s="154">
        <f aca="true" t="shared" si="15" ref="F17:J18">E17+E17*$E$2</f>
        <v>55.125</v>
      </c>
      <c r="G17" s="154">
        <f t="shared" si="15"/>
        <v>57.88125</v>
      </c>
      <c r="H17" s="154">
        <f t="shared" si="15"/>
        <v>60.7753125</v>
      </c>
      <c r="I17" s="154">
        <f t="shared" si="15"/>
        <v>63.814078124999995</v>
      </c>
      <c r="J17" s="154">
        <f t="shared" si="15"/>
        <v>67.00478203124999</v>
      </c>
      <c r="K17" s="154"/>
      <c r="M17" s="81" t="str">
        <f t="shared" si="1"/>
        <v>Транспортные расходы</v>
      </c>
      <c r="N17" s="146"/>
      <c r="O17" s="154">
        <f t="shared" si="4"/>
        <v>600</v>
      </c>
      <c r="P17" s="154">
        <f t="shared" si="5"/>
        <v>600</v>
      </c>
      <c r="Q17" s="154">
        <f t="shared" si="6"/>
        <v>630</v>
      </c>
      <c r="R17" s="154">
        <f t="shared" si="7"/>
        <v>661.5</v>
      </c>
      <c r="S17" s="154">
        <f t="shared" si="8"/>
        <v>694.575</v>
      </c>
      <c r="T17" s="154">
        <f t="shared" si="9"/>
        <v>729.30375</v>
      </c>
      <c r="U17" s="154">
        <f t="shared" si="10"/>
        <v>765.7689375</v>
      </c>
      <c r="V17" s="154">
        <f t="shared" si="11"/>
        <v>804.0573843749999</v>
      </c>
    </row>
    <row r="18" spans="1:22" ht="12.75">
      <c r="A18" s="81" t="s">
        <v>390</v>
      </c>
      <c r="B18" s="146"/>
      <c r="C18" s="145">
        <v>10</v>
      </c>
      <c r="D18" s="154">
        <f>C18</f>
        <v>10</v>
      </c>
      <c r="E18" s="154">
        <f>D18+D18*$E$2</f>
        <v>10.5</v>
      </c>
      <c r="F18" s="154">
        <f t="shared" si="15"/>
        <v>11.025</v>
      </c>
      <c r="G18" s="154">
        <f t="shared" si="15"/>
        <v>11.57625</v>
      </c>
      <c r="H18" s="154">
        <f t="shared" si="15"/>
        <v>12.1550625</v>
      </c>
      <c r="I18" s="154">
        <f t="shared" si="15"/>
        <v>12.762815625</v>
      </c>
      <c r="J18" s="154">
        <f t="shared" si="15"/>
        <v>13.40095640625</v>
      </c>
      <c r="K18" s="154"/>
      <c r="M18" s="81" t="str">
        <f t="shared" si="1"/>
        <v>Аренда земельного участка</v>
      </c>
      <c r="N18" s="146"/>
      <c r="O18" s="154">
        <f t="shared" si="4"/>
        <v>120</v>
      </c>
      <c r="P18" s="154">
        <f t="shared" si="5"/>
        <v>120</v>
      </c>
      <c r="Q18" s="154">
        <f t="shared" si="6"/>
        <v>126</v>
      </c>
      <c r="R18" s="154">
        <f t="shared" si="7"/>
        <v>132.3</v>
      </c>
      <c r="S18" s="154">
        <f t="shared" si="8"/>
        <v>138.915</v>
      </c>
      <c r="T18" s="154">
        <f t="shared" si="9"/>
        <v>145.86075</v>
      </c>
      <c r="U18" s="154">
        <f t="shared" si="10"/>
        <v>153.1537875</v>
      </c>
      <c r="V18" s="154">
        <f t="shared" si="11"/>
        <v>160.81147687499998</v>
      </c>
    </row>
    <row r="19" spans="1:22" ht="12.75">
      <c r="A19" s="81" t="s">
        <v>79</v>
      </c>
      <c r="B19" s="146"/>
      <c r="C19" s="145">
        <v>25</v>
      </c>
      <c r="D19" s="154">
        <f t="shared" si="12"/>
        <v>25</v>
      </c>
      <c r="E19" s="154">
        <f t="shared" si="3"/>
        <v>26.25</v>
      </c>
      <c r="F19" s="154">
        <f aca="true" t="shared" si="16" ref="F19:J20">E19+E19*$E$2</f>
        <v>27.5625</v>
      </c>
      <c r="G19" s="154">
        <f t="shared" si="16"/>
        <v>28.940625</v>
      </c>
      <c r="H19" s="154">
        <f t="shared" si="16"/>
        <v>30.38765625</v>
      </c>
      <c r="I19" s="154">
        <f t="shared" si="16"/>
        <v>31.907039062499997</v>
      </c>
      <c r="J19" s="154">
        <f t="shared" si="16"/>
        <v>33.502391015624994</v>
      </c>
      <c r="K19" s="154" t="s">
        <v>306</v>
      </c>
      <c r="M19" s="81" t="str">
        <f t="shared" si="1"/>
        <v>Расходы на рекламу</v>
      </c>
      <c r="N19" s="146"/>
      <c r="O19" s="154">
        <f t="shared" si="4"/>
        <v>300</v>
      </c>
      <c r="P19" s="154">
        <f t="shared" si="5"/>
        <v>300</v>
      </c>
      <c r="Q19" s="154">
        <f t="shared" si="6"/>
        <v>315</v>
      </c>
      <c r="R19" s="154">
        <f t="shared" si="7"/>
        <v>330.75</v>
      </c>
      <c r="S19" s="154">
        <f t="shared" si="8"/>
        <v>347.2875</v>
      </c>
      <c r="T19" s="154">
        <f t="shared" si="9"/>
        <v>364.651875</v>
      </c>
      <c r="U19" s="154">
        <f t="shared" si="10"/>
        <v>382.88446875</v>
      </c>
      <c r="V19" s="154">
        <f t="shared" si="11"/>
        <v>402.0286921874999</v>
      </c>
    </row>
    <row r="20" spans="1:22" ht="12.75">
      <c r="A20" s="81" t="s">
        <v>46</v>
      </c>
      <c r="B20" s="154"/>
      <c r="C20" s="145">
        <v>50</v>
      </c>
      <c r="D20" s="154">
        <f t="shared" si="12"/>
        <v>50</v>
      </c>
      <c r="E20" s="154">
        <f t="shared" si="3"/>
        <v>52.5</v>
      </c>
      <c r="F20" s="154">
        <f t="shared" si="16"/>
        <v>55.125</v>
      </c>
      <c r="G20" s="154">
        <f t="shared" si="16"/>
        <v>57.88125</v>
      </c>
      <c r="H20" s="154">
        <f t="shared" si="16"/>
        <v>60.7753125</v>
      </c>
      <c r="I20" s="154">
        <f t="shared" si="16"/>
        <v>63.814078124999995</v>
      </c>
      <c r="J20" s="154">
        <f t="shared" si="16"/>
        <v>67.00478203124999</v>
      </c>
      <c r="K20" s="154"/>
      <c r="M20" s="81" t="str">
        <f t="shared" si="1"/>
        <v>Прочие непредвиденные расходы</v>
      </c>
      <c r="N20" s="154"/>
      <c r="O20" s="154">
        <f t="shared" si="4"/>
        <v>600</v>
      </c>
      <c r="P20" s="154">
        <f t="shared" si="5"/>
        <v>600</v>
      </c>
      <c r="Q20" s="154">
        <f t="shared" si="6"/>
        <v>630</v>
      </c>
      <c r="R20" s="154">
        <f t="shared" si="7"/>
        <v>661.5</v>
      </c>
      <c r="S20" s="154">
        <f t="shared" si="8"/>
        <v>694.575</v>
      </c>
      <c r="T20" s="154">
        <f t="shared" si="9"/>
        <v>729.30375</v>
      </c>
      <c r="U20" s="154">
        <f t="shared" si="10"/>
        <v>765.7689375</v>
      </c>
      <c r="V20" s="154">
        <f t="shared" si="11"/>
        <v>804.0573843749999</v>
      </c>
    </row>
    <row r="21" spans="1:24" ht="12.75">
      <c r="A21" s="217" t="s">
        <v>0</v>
      </c>
      <c r="B21" s="218"/>
      <c r="C21" s="218">
        <f aca="true" t="shared" si="17" ref="C21:J21">SUM(C5:C20)</f>
        <v>4324.195000000001</v>
      </c>
      <c r="D21" s="218">
        <f t="shared" si="17"/>
        <v>4604.012633333334</v>
      </c>
      <c r="E21" s="218">
        <f t="shared" si="17"/>
        <v>4957.440645833334</v>
      </c>
      <c r="F21" s="218">
        <f t="shared" si="17"/>
        <v>5219.4380875</v>
      </c>
      <c r="G21" s="218">
        <f t="shared" si="17"/>
        <v>5490.095986875002</v>
      </c>
      <c r="H21" s="218">
        <f t="shared" si="17"/>
        <v>5772.672448718749</v>
      </c>
      <c r="I21" s="218">
        <f t="shared" si="17"/>
        <v>6067.763401154691</v>
      </c>
      <c r="J21" s="218">
        <f t="shared" si="17"/>
        <v>6375.994568712423</v>
      </c>
      <c r="K21" s="218"/>
      <c r="M21" s="217" t="str">
        <f t="shared" si="1"/>
        <v>Итого</v>
      </c>
      <c r="N21" s="218"/>
      <c r="O21" s="218">
        <f aca="true" t="shared" si="18" ref="O21:V21">SUM(O5:O20)</f>
        <v>51890.34000000001</v>
      </c>
      <c r="P21" s="218">
        <f t="shared" si="18"/>
        <v>55248.15160000001</v>
      </c>
      <c r="Q21" s="218">
        <f t="shared" si="18"/>
        <v>59489.28775</v>
      </c>
      <c r="R21" s="218">
        <f t="shared" si="18"/>
        <v>62633.257050000015</v>
      </c>
      <c r="S21" s="218">
        <f t="shared" si="18"/>
        <v>65881.1518425</v>
      </c>
      <c r="T21" s="218">
        <f t="shared" si="18"/>
        <v>69272.06938462504</v>
      </c>
      <c r="U21" s="218">
        <f t="shared" si="18"/>
        <v>72813.16081385629</v>
      </c>
      <c r="V21" s="218">
        <f t="shared" si="18"/>
        <v>76511.93482454904</v>
      </c>
      <c r="X21" s="249"/>
    </row>
    <row r="23" spans="1:22" ht="12.75">
      <c r="A23" s="62" t="s">
        <v>80</v>
      </c>
      <c r="C23" s="201">
        <f aca="true" t="shared" si="19" ref="C23:J23">SUM(C24:C24)</f>
        <v>25.425365000000006</v>
      </c>
      <c r="D23" s="201">
        <f t="shared" si="19"/>
        <v>25.425365000000006</v>
      </c>
      <c r="E23" s="201">
        <f t="shared" si="19"/>
        <v>26.696633250000005</v>
      </c>
      <c r="F23" s="201">
        <f t="shared" si="19"/>
        <v>28.031464912500006</v>
      </c>
      <c r="G23" s="201">
        <f t="shared" si="19"/>
        <v>29.433038158125004</v>
      </c>
      <c r="H23" s="201">
        <f t="shared" si="19"/>
        <v>30.90469006603125</v>
      </c>
      <c r="I23" s="201">
        <f t="shared" si="19"/>
        <v>32.449924569332815</v>
      </c>
      <c r="J23" s="201">
        <f t="shared" si="19"/>
        <v>34.07242079779946</v>
      </c>
      <c r="M23" s="62" t="str">
        <f>A23</f>
        <v>Страхование</v>
      </c>
      <c r="O23" s="201">
        <f aca="true" t="shared" si="20" ref="O23:V23">SUM(O24:O24)</f>
        <v>305.1043800000001</v>
      </c>
      <c r="P23" s="201">
        <f t="shared" si="20"/>
        <v>305.1043800000001</v>
      </c>
      <c r="Q23" s="201">
        <f t="shared" si="20"/>
        <v>320.35959900000006</v>
      </c>
      <c r="R23" s="201">
        <f t="shared" si="20"/>
        <v>336.37757895000004</v>
      </c>
      <c r="S23" s="201">
        <f t="shared" si="20"/>
        <v>353.19645789750007</v>
      </c>
      <c r="T23" s="201">
        <f t="shared" si="20"/>
        <v>370.856280792375</v>
      </c>
      <c r="U23" s="201">
        <f t="shared" si="20"/>
        <v>389.3990948319938</v>
      </c>
      <c r="V23" s="201">
        <f t="shared" si="20"/>
        <v>408.86904957359354</v>
      </c>
    </row>
    <row r="24" spans="1:22" ht="25.5">
      <c r="A24" s="167" t="s">
        <v>81</v>
      </c>
      <c r="B24" s="170">
        <v>0.007</v>
      </c>
      <c r="C24" s="154">
        <f aca="true" t="shared" si="21" ref="C24:J24">C5*$B$24</f>
        <v>25.425365000000006</v>
      </c>
      <c r="D24" s="154">
        <f t="shared" si="21"/>
        <v>25.425365000000006</v>
      </c>
      <c r="E24" s="154">
        <f t="shared" si="21"/>
        <v>26.696633250000005</v>
      </c>
      <c r="F24" s="154">
        <f t="shared" si="21"/>
        <v>28.031464912500006</v>
      </c>
      <c r="G24" s="154">
        <f t="shared" si="21"/>
        <v>29.433038158125004</v>
      </c>
      <c r="H24" s="154">
        <f t="shared" si="21"/>
        <v>30.90469006603125</v>
      </c>
      <c r="I24" s="154">
        <f t="shared" si="21"/>
        <v>32.449924569332815</v>
      </c>
      <c r="J24" s="154">
        <f t="shared" si="21"/>
        <v>34.07242079779946</v>
      </c>
      <c r="M24" s="167" t="s">
        <v>81</v>
      </c>
      <c r="N24" s="170">
        <f>B24</f>
        <v>0.007</v>
      </c>
      <c r="O24" s="154">
        <f aca="true" t="shared" si="22" ref="O24:V24">C24*12</f>
        <v>305.1043800000001</v>
      </c>
      <c r="P24" s="154">
        <f t="shared" si="22"/>
        <v>305.1043800000001</v>
      </c>
      <c r="Q24" s="154">
        <f t="shared" si="22"/>
        <v>320.35959900000006</v>
      </c>
      <c r="R24" s="154">
        <f t="shared" si="22"/>
        <v>336.37757895000004</v>
      </c>
      <c r="S24" s="154">
        <f t="shared" si="22"/>
        <v>353.19645789750007</v>
      </c>
      <c r="T24" s="154">
        <f t="shared" si="22"/>
        <v>370.856280792375</v>
      </c>
      <c r="U24" s="154">
        <f t="shared" si="22"/>
        <v>389.3990948319938</v>
      </c>
      <c r="V24" s="154">
        <f t="shared" si="22"/>
        <v>408.86904957359354</v>
      </c>
    </row>
    <row r="26" spans="1:22" ht="12.75">
      <c r="A26" s="62" t="s">
        <v>82</v>
      </c>
      <c r="C26" s="201">
        <f>SUM(C27:C28)</f>
        <v>50.7338169642857</v>
      </c>
      <c r="D26" s="201">
        <f aca="true" t="shared" si="23" ref="D26:I26">SUM(D27:D28)</f>
        <v>95.4353794642857</v>
      </c>
      <c r="E26" s="201">
        <f t="shared" si="23"/>
        <v>89.22837053571429</v>
      </c>
      <c r="F26" s="201">
        <f t="shared" si="23"/>
        <v>83.02923660714283</v>
      </c>
      <c r="G26" s="201">
        <f t="shared" si="23"/>
        <v>76.8383714285714</v>
      </c>
      <c r="H26" s="201">
        <f t="shared" si="23"/>
        <v>70.65618843749996</v>
      </c>
      <c r="I26" s="201">
        <f t="shared" si="23"/>
        <v>64.48312174330354</v>
      </c>
      <c r="J26" s="201">
        <f>SUM(J27:J28)</f>
        <v>58.31962716082585</v>
      </c>
      <c r="M26" s="62" t="str">
        <f>A26</f>
        <v>Налоги (кроме налогов на ФЗП)</v>
      </c>
      <c r="O26" s="201">
        <f>SUM(O27:O28)</f>
        <v>608.8058035714284</v>
      </c>
      <c r="P26" s="201">
        <f aca="true" t="shared" si="24" ref="P26:U26">SUM(P27:P28)</f>
        <v>1145.2245535714283</v>
      </c>
      <c r="Q26" s="201">
        <f t="shared" si="24"/>
        <v>1070.7404464285714</v>
      </c>
      <c r="R26" s="201">
        <f t="shared" si="24"/>
        <v>996.350839285714</v>
      </c>
      <c r="S26" s="201">
        <f t="shared" si="24"/>
        <v>922.0604571428569</v>
      </c>
      <c r="T26" s="201">
        <f t="shared" si="24"/>
        <v>847.8742612499997</v>
      </c>
      <c r="U26" s="201">
        <f t="shared" si="24"/>
        <v>773.7974609196425</v>
      </c>
      <c r="V26" s="201">
        <f>SUM(V27:V28)</f>
        <v>699.8355259299102</v>
      </c>
    </row>
    <row r="27" spans="1:22" ht="12.75">
      <c r="A27" s="81" t="s">
        <v>2</v>
      </c>
      <c r="B27" s="172">
        <f>Исх!C17</f>
        <v>0.015</v>
      </c>
      <c r="C27" s="154">
        <f>(C40+C43)/2*$B$27/12</f>
        <v>47.7338169642857</v>
      </c>
      <c r="D27" s="154">
        <f aca="true" t="shared" si="25" ref="D27:I27">(D40+D43)/2*$B$27/12</f>
        <v>92.2853794642857</v>
      </c>
      <c r="E27" s="154">
        <f>(E40+E43)/2*$B$27/12</f>
        <v>85.92087053571429</v>
      </c>
      <c r="F27" s="154">
        <f t="shared" si="25"/>
        <v>79.55636160714283</v>
      </c>
      <c r="G27" s="154">
        <f t="shared" si="25"/>
        <v>73.19185267857141</v>
      </c>
      <c r="H27" s="154">
        <f t="shared" si="25"/>
        <v>66.82734374999997</v>
      </c>
      <c r="I27" s="154">
        <f t="shared" si="25"/>
        <v>60.462834821428544</v>
      </c>
      <c r="J27" s="154">
        <f>(J40+J43)/2*$B$27/12</f>
        <v>54.098325892857105</v>
      </c>
      <c r="M27" s="81" t="s">
        <v>2</v>
      </c>
      <c r="N27" s="172">
        <f>B27</f>
        <v>0.015</v>
      </c>
      <c r="O27" s="154">
        <f aca="true" t="shared" si="26" ref="O27:V28">C27*12</f>
        <v>572.8058035714284</v>
      </c>
      <c r="P27" s="154">
        <f t="shared" si="26"/>
        <v>1107.4245535714283</v>
      </c>
      <c r="Q27" s="154">
        <f t="shared" si="26"/>
        <v>1031.0504464285714</v>
      </c>
      <c r="R27" s="154">
        <f t="shared" si="26"/>
        <v>954.676339285714</v>
      </c>
      <c r="S27" s="154">
        <f t="shared" si="26"/>
        <v>878.3022321428568</v>
      </c>
      <c r="T27" s="154">
        <f t="shared" si="26"/>
        <v>801.9281249999997</v>
      </c>
      <c r="U27" s="154">
        <f t="shared" si="26"/>
        <v>725.5540178571425</v>
      </c>
      <c r="V27" s="154">
        <f t="shared" si="26"/>
        <v>649.1799107142853</v>
      </c>
    </row>
    <row r="28" spans="1:22" ht="12.75">
      <c r="A28" s="81" t="s">
        <v>101</v>
      </c>
      <c r="B28" s="81"/>
      <c r="C28" s="145">
        <v>3</v>
      </c>
      <c r="D28" s="154">
        <f aca="true" t="shared" si="27" ref="D28:J28">C28+C28*$E$2</f>
        <v>3.15</v>
      </c>
      <c r="E28" s="154">
        <f t="shared" si="27"/>
        <v>3.3075</v>
      </c>
      <c r="F28" s="154">
        <f t="shared" si="27"/>
        <v>3.472875</v>
      </c>
      <c r="G28" s="154">
        <f t="shared" si="27"/>
        <v>3.6465187500000003</v>
      </c>
      <c r="H28" s="154">
        <f t="shared" si="27"/>
        <v>3.8288446875</v>
      </c>
      <c r="I28" s="154">
        <f t="shared" si="27"/>
        <v>4.020286921875</v>
      </c>
      <c r="J28" s="154">
        <f t="shared" si="27"/>
        <v>4.22130126796875</v>
      </c>
      <c r="M28" s="81" t="s">
        <v>101</v>
      </c>
      <c r="N28" s="81"/>
      <c r="O28" s="154">
        <f t="shared" si="26"/>
        <v>36</v>
      </c>
      <c r="P28" s="154">
        <f t="shared" si="26"/>
        <v>37.8</v>
      </c>
      <c r="Q28" s="154">
        <f t="shared" si="26"/>
        <v>39.69</v>
      </c>
      <c r="R28" s="154">
        <f t="shared" si="26"/>
        <v>41.6745</v>
      </c>
      <c r="S28" s="154">
        <f t="shared" si="26"/>
        <v>43.758225</v>
      </c>
      <c r="T28" s="154">
        <f t="shared" si="26"/>
        <v>45.94613625</v>
      </c>
      <c r="U28" s="154">
        <f t="shared" si="26"/>
        <v>48.2434430625</v>
      </c>
      <c r="V28" s="154">
        <f t="shared" si="26"/>
        <v>50.655615215625</v>
      </c>
    </row>
    <row r="30" ht="12.75">
      <c r="C30" s="173"/>
    </row>
    <row r="31" spans="1:10" ht="12.75">
      <c r="A31" s="310" t="s">
        <v>83</v>
      </c>
      <c r="B31" s="310"/>
      <c r="C31" s="310"/>
      <c r="D31" s="310"/>
      <c r="E31" s="310"/>
      <c r="F31" s="310"/>
      <c r="G31" s="161"/>
      <c r="H31" s="161"/>
      <c r="I31" s="161"/>
      <c r="J31" s="161"/>
    </row>
    <row r="32" spans="1:10" ht="12.75">
      <c r="A32" s="141" t="s">
        <v>89</v>
      </c>
      <c r="B32" s="81"/>
      <c r="C32" s="142">
        <v>2013</v>
      </c>
      <c r="D32" s="142">
        <f aca="true" t="shared" si="28" ref="D32:J32">D4</f>
        <v>2014</v>
      </c>
      <c r="E32" s="142">
        <f t="shared" si="28"/>
        <v>2015</v>
      </c>
      <c r="F32" s="142">
        <f t="shared" si="28"/>
        <v>2016</v>
      </c>
      <c r="G32" s="142">
        <f t="shared" si="28"/>
        <v>2017</v>
      </c>
      <c r="H32" s="142">
        <f t="shared" si="28"/>
        <v>2018</v>
      </c>
      <c r="I32" s="142">
        <f t="shared" si="28"/>
        <v>2019</v>
      </c>
      <c r="J32" s="142">
        <f t="shared" si="28"/>
        <v>2020</v>
      </c>
    </row>
    <row r="33" spans="1:10" ht="12.75">
      <c r="A33" s="81" t="s">
        <v>84</v>
      </c>
      <c r="B33" s="174"/>
      <c r="C33" s="81"/>
      <c r="D33" s="81"/>
      <c r="E33" s="81"/>
      <c r="F33" s="81"/>
      <c r="G33" s="81"/>
      <c r="H33" s="81"/>
      <c r="I33" s="81"/>
      <c r="J33" s="81"/>
    </row>
    <row r="34" spans="1:10" ht="12.75">
      <c r="A34" s="81" t="s">
        <v>85</v>
      </c>
      <c r="B34" s="175"/>
      <c r="C34" s="154">
        <f>C40+C46+C52</f>
        <v>0</v>
      </c>
      <c r="D34" s="154">
        <f aca="true" t="shared" si="29" ref="D34:I34">D40+D46+D52</f>
        <v>239785.69685714284</v>
      </c>
      <c r="E34" s="154">
        <f t="shared" si="29"/>
        <v>217239.91428571424</v>
      </c>
      <c r="F34" s="154">
        <f t="shared" si="29"/>
        <v>197476.67285714284</v>
      </c>
      <c r="G34" s="154">
        <f t="shared" si="29"/>
        <v>177713.4314285714</v>
      </c>
      <c r="H34" s="154">
        <f t="shared" si="29"/>
        <v>157950.18999999994</v>
      </c>
      <c r="I34" s="154">
        <f t="shared" si="29"/>
        <v>138186.9485714285</v>
      </c>
      <c r="J34" s="154">
        <f>J40+J46+J52</f>
        <v>118423.70714285708</v>
      </c>
    </row>
    <row r="35" spans="1:10" ht="12.75">
      <c r="A35" s="81" t="s">
        <v>86</v>
      </c>
      <c r="B35" s="175"/>
      <c r="C35" s="154">
        <f>C41+C47+C53</f>
        <v>223090.44999999998</v>
      </c>
      <c r="D35" s="154">
        <f aca="true" t="shared" si="30" ref="D35:I35">D41+D47+D53</f>
        <v>0</v>
      </c>
      <c r="E35" s="154">
        <f t="shared" si="30"/>
        <v>0</v>
      </c>
      <c r="F35" s="154">
        <f t="shared" si="30"/>
        <v>0</v>
      </c>
      <c r="G35" s="154">
        <f t="shared" si="30"/>
        <v>0</v>
      </c>
      <c r="H35" s="154">
        <f t="shared" si="30"/>
        <v>0</v>
      </c>
      <c r="I35" s="154">
        <f t="shared" si="30"/>
        <v>0</v>
      </c>
      <c r="J35" s="154">
        <f>J41+J47+J53</f>
        <v>0</v>
      </c>
    </row>
    <row r="36" spans="1:10" ht="12.75">
      <c r="A36" s="156" t="s">
        <v>87</v>
      </c>
      <c r="B36" s="156"/>
      <c r="C36" s="155">
        <f>C42+C48+C54</f>
        <v>0</v>
      </c>
      <c r="D36" s="155">
        <f aca="true" t="shared" si="31" ref="D36:I36">D42+D48+D54</f>
        <v>19763.24142857143</v>
      </c>
      <c r="E36" s="155">
        <f>E42+E48+E54</f>
        <v>19763.24142857143</v>
      </c>
      <c r="F36" s="155">
        <f t="shared" si="31"/>
        <v>19763.24142857143</v>
      </c>
      <c r="G36" s="155">
        <f t="shared" si="31"/>
        <v>19763.24142857143</v>
      </c>
      <c r="H36" s="155">
        <f t="shared" si="31"/>
        <v>19763.24142857143</v>
      </c>
      <c r="I36" s="155">
        <f t="shared" si="31"/>
        <v>19763.24142857143</v>
      </c>
      <c r="J36" s="155">
        <f>J42+J48+J54</f>
        <v>19763.24142857143</v>
      </c>
    </row>
    <row r="37" spans="1:10" ht="12.75">
      <c r="A37" s="81" t="s">
        <v>88</v>
      </c>
      <c r="B37" s="175"/>
      <c r="C37" s="154">
        <f aca="true" t="shared" si="32" ref="C37:I37">C34+C35-C36</f>
        <v>223090.44999999998</v>
      </c>
      <c r="D37" s="154">
        <f t="shared" si="32"/>
        <v>220022.4554285714</v>
      </c>
      <c r="E37" s="154">
        <f t="shared" si="32"/>
        <v>197476.6728571428</v>
      </c>
      <c r="F37" s="154">
        <f t="shared" si="32"/>
        <v>177713.4314285714</v>
      </c>
      <c r="G37" s="154">
        <f t="shared" si="32"/>
        <v>157950.18999999997</v>
      </c>
      <c r="H37" s="154">
        <f t="shared" si="32"/>
        <v>138186.9485714285</v>
      </c>
      <c r="I37" s="154">
        <f t="shared" si="32"/>
        <v>118423.70714285708</v>
      </c>
      <c r="J37" s="154">
        <f>J34+J35-J36</f>
        <v>98660.46571428564</v>
      </c>
    </row>
    <row r="38" spans="1:10" ht="12.75" hidden="1" outlineLevel="1">
      <c r="A38" s="79" t="s">
        <v>109</v>
      </c>
      <c r="C38" s="142"/>
      <c r="D38" s="142"/>
      <c r="E38" s="142"/>
      <c r="F38" s="142"/>
      <c r="G38" s="142"/>
      <c r="H38" s="142"/>
      <c r="I38" s="142"/>
      <c r="J38" s="142"/>
    </row>
    <row r="39" spans="1:10" ht="12.75" hidden="1" outlineLevel="1">
      <c r="A39" s="81" t="s">
        <v>84</v>
      </c>
      <c r="B39" s="176">
        <f>1/15</f>
        <v>0.06666666666666667</v>
      </c>
      <c r="C39" s="81"/>
      <c r="D39" s="81"/>
      <c r="E39" s="81"/>
      <c r="F39" s="81"/>
      <c r="G39" s="81"/>
      <c r="H39" s="81"/>
      <c r="I39" s="81"/>
      <c r="J39" s="81"/>
    </row>
    <row r="40" spans="1:10" ht="12.75" hidden="1" outlineLevel="1">
      <c r="A40" s="81" t="s">
        <v>85</v>
      </c>
      <c r="B40" s="175"/>
      <c r="C40" s="146"/>
      <c r="D40" s="154">
        <f aca="true" t="shared" si="33" ref="D40:J40">C43</f>
        <v>76374.10714285713</v>
      </c>
      <c r="E40" s="154">
        <f t="shared" si="33"/>
        <v>71282.49999999999</v>
      </c>
      <c r="F40" s="154">
        <f t="shared" si="33"/>
        <v>66190.89285714284</v>
      </c>
      <c r="G40" s="154">
        <f t="shared" si="33"/>
        <v>61099.285714285696</v>
      </c>
      <c r="H40" s="154">
        <f t="shared" si="33"/>
        <v>56007.67857142855</v>
      </c>
      <c r="I40" s="154">
        <f t="shared" si="33"/>
        <v>50916.071428571406</v>
      </c>
      <c r="J40" s="154">
        <f t="shared" si="33"/>
        <v>45824.46428571426</v>
      </c>
    </row>
    <row r="41" spans="1:10" ht="12.75" hidden="1" outlineLevel="1">
      <c r="A41" s="81" t="s">
        <v>86</v>
      </c>
      <c r="B41" s="175"/>
      <c r="C41" s="154">
        <f>Инв!Q5/Исх!$C$19</f>
        <v>76374.10714285713</v>
      </c>
      <c r="D41" s="154"/>
      <c r="E41" s="154"/>
      <c r="F41" s="154"/>
      <c r="G41" s="154"/>
      <c r="H41" s="154"/>
      <c r="I41" s="154"/>
      <c r="J41" s="154"/>
    </row>
    <row r="42" spans="1:10" ht="12.75" hidden="1" outlineLevel="1">
      <c r="A42" s="156" t="s">
        <v>87</v>
      </c>
      <c r="B42" s="156"/>
      <c r="C42" s="155">
        <f>$C41*$B39/12*0</f>
        <v>0</v>
      </c>
      <c r="D42" s="155">
        <f>$C41*$B39</f>
        <v>5091.607142857142</v>
      </c>
      <c r="E42" s="155">
        <f aca="true" t="shared" si="34" ref="E42:J42">$C41*$B39</f>
        <v>5091.607142857142</v>
      </c>
      <c r="F42" s="155">
        <f t="shared" si="34"/>
        <v>5091.607142857142</v>
      </c>
      <c r="G42" s="155">
        <f t="shared" si="34"/>
        <v>5091.607142857142</v>
      </c>
      <c r="H42" s="155">
        <f t="shared" si="34"/>
        <v>5091.607142857142</v>
      </c>
      <c r="I42" s="155">
        <f t="shared" si="34"/>
        <v>5091.607142857142</v>
      </c>
      <c r="J42" s="155">
        <f t="shared" si="34"/>
        <v>5091.607142857142</v>
      </c>
    </row>
    <row r="43" spans="1:10" ht="12.75" hidden="1" outlineLevel="1">
      <c r="A43" s="81" t="s">
        <v>88</v>
      </c>
      <c r="B43" s="175"/>
      <c r="C43" s="154">
        <f aca="true" t="shared" si="35" ref="C43:I43">C40+C41-C42</f>
        <v>76374.10714285713</v>
      </c>
      <c r="D43" s="154">
        <f t="shared" si="35"/>
        <v>71282.49999999999</v>
      </c>
      <c r="E43" s="154">
        <f t="shared" si="35"/>
        <v>66190.89285714284</v>
      </c>
      <c r="F43" s="154">
        <f t="shared" si="35"/>
        <v>61099.285714285696</v>
      </c>
      <c r="G43" s="154">
        <f t="shared" si="35"/>
        <v>56007.67857142855</v>
      </c>
      <c r="H43" s="154">
        <f t="shared" si="35"/>
        <v>50916.071428571406</v>
      </c>
      <c r="I43" s="154">
        <f t="shared" si="35"/>
        <v>45824.46428571426</v>
      </c>
      <c r="J43" s="154">
        <f>J40+J41-J42</f>
        <v>40732.857142857116</v>
      </c>
    </row>
    <row r="44" spans="1:10" ht="12.75" hidden="1" outlineLevel="1">
      <c r="A44" s="79" t="s">
        <v>105</v>
      </c>
      <c r="C44" s="142"/>
      <c r="D44" s="142"/>
      <c r="E44" s="142"/>
      <c r="F44" s="142"/>
      <c r="G44" s="142"/>
      <c r="H44" s="142"/>
      <c r="I44" s="142"/>
      <c r="J44" s="142"/>
    </row>
    <row r="45" spans="1:10" ht="12.75" hidden="1" outlineLevel="1">
      <c r="A45" s="81" t="s">
        <v>84</v>
      </c>
      <c r="B45" s="176">
        <f>1/10</f>
        <v>0.1</v>
      </c>
      <c r="C45" s="81"/>
      <c r="D45" s="81"/>
      <c r="E45" s="81"/>
      <c r="F45" s="81"/>
      <c r="G45" s="81"/>
      <c r="H45" s="81"/>
      <c r="I45" s="81"/>
      <c r="J45" s="81"/>
    </row>
    <row r="46" spans="1:10" ht="12.75" hidden="1" outlineLevel="1">
      <c r="A46" s="81" t="s">
        <v>85</v>
      </c>
      <c r="B46" s="175"/>
      <c r="C46" s="154"/>
      <c r="D46" s="154">
        <f>Инв!B19</f>
        <v>155822.304</v>
      </c>
      <c r="E46" s="154">
        <f>Инв!C19</f>
        <v>139127.05714285714</v>
      </c>
      <c r="F46" s="154">
        <f>E49</f>
        <v>125214.35142857142</v>
      </c>
      <c r="G46" s="154">
        <f>F49</f>
        <v>111301.6457142857</v>
      </c>
      <c r="H46" s="154">
        <f>G49</f>
        <v>97388.93999999997</v>
      </c>
      <c r="I46" s="154">
        <f>H49</f>
        <v>83476.23428571425</v>
      </c>
      <c r="J46" s="154">
        <f>I49</f>
        <v>69563.52857142853</v>
      </c>
    </row>
    <row r="47" spans="1:10" ht="12.75" hidden="1" outlineLevel="1">
      <c r="A47" s="81" t="s">
        <v>86</v>
      </c>
      <c r="B47" s="175"/>
      <c r="C47" s="154">
        <f>Инв!Q9/Исх!$C$19</f>
        <v>139127.05714285714</v>
      </c>
      <c r="D47" s="154"/>
      <c r="E47" s="154"/>
      <c r="F47" s="154"/>
      <c r="G47" s="154"/>
      <c r="H47" s="154"/>
      <c r="I47" s="154"/>
      <c r="J47" s="154"/>
    </row>
    <row r="48" spans="1:10" ht="12.75" hidden="1" outlineLevel="1">
      <c r="A48" s="156" t="s">
        <v>87</v>
      </c>
      <c r="B48" s="156"/>
      <c r="C48" s="155">
        <f>$C47*$B45/12*0</f>
        <v>0</v>
      </c>
      <c r="D48" s="155">
        <f aca="true" t="shared" si="36" ref="D48:J48">$C47*$B45</f>
        <v>13912.705714285716</v>
      </c>
      <c r="E48" s="155">
        <f t="shared" si="36"/>
        <v>13912.705714285716</v>
      </c>
      <c r="F48" s="155">
        <f t="shared" si="36"/>
        <v>13912.705714285716</v>
      </c>
      <c r="G48" s="155">
        <f t="shared" si="36"/>
        <v>13912.705714285716</v>
      </c>
      <c r="H48" s="155">
        <f t="shared" si="36"/>
        <v>13912.705714285716</v>
      </c>
      <c r="I48" s="155">
        <f t="shared" si="36"/>
        <v>13912.705714285716</v>
      </c>
      <c r="J48" s="155">
        <f t="shared" si="36"/>
        <v>13912.705714285716</v>
      </c>
    </row>
    <row r="49" spans="1:10" ht="12.75" hidden="1" outlineLevel="1">
      <c r="A49" s="81" t="s">
        <v>88</v>
      </c>
      <c r="B49" s="175"/>
      <c r="C49" s="154">
        <f aca="true" t="shared" si="37" ref="C49:I49">C46+C47-C48</f>
        <v>139127.05714285714</v>
      </c>
      <c r="D49" s="154">
        <f t="shared" si="37"/>
        <v>141909.59828571428</v>
      </c>
      <c r="E49" s="154">
        <f t="shared" si="37"/>
        <v>125214.35142857142</v>
      </c>
      <c r="F49" s="154">
        <f t="shared" si="37"/>
        <v>111301.6457142857</v>
      </c>
      <c r="G49" s="154">
        <f t="shared" si="37"/>
        <v>97388.93999999997</v>
      </c>
      <c r="H49" s="154">
        <f t="shared" si="37"/>
        <v>83476.23428571425</v>
      </c>
      <c r="I49" s="154">
        <f t="shared" si="37"/>
        <v>69563.52857142853</v>
      </c>
      <c r="J49" s="154">
        <f>J46+J47-J48</f>
        <v>55650.82285714281</v>
      </c>
    </row>
    <row r="50" spans="1:10" ht="12.75" hidden="1" outlineLevel="1">
      <c r="A50" s="79" t="s">
        <v>190</v>
      </c>
      <c r="C50" s="142"/>
      <c r="D50" s="142"/>
      <c r="E50" s="142"/>
      <c r="F50" s="142"/>
      <c r="G50" s="142"/>
      <c r="H50" s="142"/>
      <c r="I50" s="142"/>
      <c r="J50" s="142"/>
    </row>
    <row r="51" spans="1:10" ht="12.75" hidden="1" outlineLevel="1">
      <c r="A51" s="81" t="s">
        <v>84</v>
      </c>
      <c r="B51" s="176">
        <f>1/10</f>
        <v>0.1</v>
      </c>
      <c r="C51" s="81"/>
      <c r="D51" s="81"/>
      <c r="E51" s="81"/>
      <c r="F51" s="81"/>
      <c r="G51" s="81"/>
      <c r="H51" s="81"/>
      <c r="I51" s="81"/>
      <c r="J51" s="81"/>
    </row>
    <row r="52" spans="1:10" ht="12.75" hidden="1" outlineLevel="1">
      <c r="A52" s="81" t="s">
        <v>85</v>
      </c>
      <c r="B52" s="175"/>
      <c r="C52" s="154"/>
      <c r="D52" s="154">
        <f aca="true" t="shared" si="38" ref="D52:J52">C55</f>
        <v>7589.285714285714</v>
      </c>
      <c r="E52" s="154">
        <f t="shared" si="38"/>
        <v>6830.357142857142</v>
      </c>
      <c r="F52" s="154">
        <f t="shared" si="38"/>
        <v>6071.428571428571</v>
      </c>
      <c r="G52" s="154">
        <f t="shared" si="38"/>
        <v>5312.499999999999</v>
      </c>
      <c r="H52" s="154">
        <f t="shared" si="38"/>
        <v>4553.5714285714275</v>
      </c>
      <c r="I52" s="154">
        <f t="shared" si="38"/>
        <v>3794.642857142856</v>
      </c>
      <c r="J52" s="154">
        <f t="shared" si="38"/>
        <v>3035.7142857142844</v>
      </c>
    </row>
    <row r="53" spans="1:10" ht="12.75" hidden="1" outlineLevel="1">
      <c r="A53" s="81" t="s">
        <v>86</v>
      </c>
      <c r="B53" s="175"/>
      <c r="C53" s="154">
        <f>Инв!Q12/Исх!$C$19</f>
        <v>7589.285714285714</v>
      </c>
      <c r="D53" s="154"/>
      <c r="E53" s="154"/>
      <c r="F53" s="154"/>
      <c r="G53" s="154"/>
      <c r="H53" s="154"/>
      <c r="I53" s="154"/>
      <c r="J53" s="154"/>
    </row>
    <row r="54" spans="1:10" ht="12.75" hidden="1" outlineLevel="1">
      <c r="A54" s="156" t="s">
        <v>87</v>
      </c>
      <c r="B54" s="156"/>
      <c r="C54" s="155">
        <f>$C53*$B51/12*0</f>
        <v>0</v>
      </c>
      <c r="D54" s="155">
        <f aca="true" t="shared" si="39" ref="D54:J54">$C53*$B51</f>
        <v>758.9285714285714</v>
      </c>
      <c r="E54" s="155">
        <f t="shared" si="39"/>
        <v>758.9285714285714</v>
      </c>
      <c r="F54" s="155">
        <f t="shared" si="39"/>
        <v>758.9285714285714</v>
      </c>
      <c r="G54" s="155">
        <f t="shared" si="39"/>
        <v>758.9285714285714</v>
      </c>
      <c r="H54" s="155">
        <f t="shared" si="39"/>
        <v>758.9285714285714</v>
      </c>
      <c r="I54" s="155">
        <f t="shared" si="39"/>
        <v>758.9285714285714</v>
      </c>
      <c r="J54" s="155">
        <f t="shared" si="39"/>
        <v>758.9285714285714</v>
      </c>
    </row>
    <row r="55" spans="1:10" ht="12.75" hidden="1" outlineLevel="1">
      <c r="A55" s="81" t="s">
        <v>88</v>
      </c>
      <c r="B55" s="175"/>
      <c r="C55" s="154">
        <f aca="true" t="shared" si="40" ref="C55:I55">C52+C53-C54</f>
        <v>7589.285714285714</v>
      </c>
      <c r="D55" s="154">
        <f t="shared" si="40"/>
        <v>6830.357142857142</v>
      </c>
      <c r="E55" s="154">
        <f t="shared" si="40"/>
        <v>6071.428571428571</v>
      </c>
      <c r="F55" s="154">
        <f t="shared" si="40"/>
        <v>5312.499999999999</v>
      </c>
      <c r="G55" s="154">
        <f t="shared" si="40"/>
        <v>4553.5714285714275</v>
      </c>
      <c r="H55" s="154">
        <f t="shared" si="40"/>
        <v>3794.642857142856</v>
      </c>
      <c r="I55" s="154">
        <f t="shared" si="40"/>
        <v>3035.7142857142844</v>
      </c>
      <c r="J55" s="154">
        <f>J52+J53-J54</f>
        <v>2276.785714285713</v>
      </c>
    </row>
    <row r="56" ht="12.75" collapsed="1"/>
  </sheetData>
  <sheetProtection/>
  <printOptions/>
  <pageMargins left="0.44" right="0.4" top="0.51" bottom="0.3" header="0.2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2013-08-16T12:58:22Z</cp:lastPrinted>
  <dcterms:created xsi:type="dcterms:W3CDTF">2006-03-01T15:11:19Z</dcterms:created>
  <dcterms:modified xsi:type="dcterms:W3CDTF">2013-09-29T05:57:57Z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