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2390" windowHeight="8445" tabRatio="633" activeTab="11"/>
  </bookViews>
  <sheets>
    <sheet name="1-Ф3" sheetId="28" r:id="rId1"/>
    <sheet name="2-ф2" sheetId="8" r:id="rId2"/>
    <sheet name="3-Баланс" sheetId="67" r:id="rId3"/>
    <sheet name="Исх" sheetId="53" r:id="rId4"/>
    <sheet name="Дох" sheetId="62" r:id="rId5"/>
    <sheet name="Расх перем" sheetId="63" r:id="rId6"/>
    <sheet name="ФОТ" sheetId="65" r:id="rId7"/>
    <sheet name="Пост" sheetId="66" r:id="rId8"/>
    <sheet name="кр" sheetId="64" r:id="rId9"/>
    <sheet name="Инв" sheetId="59" r:id="rId10"/>
    <sheet name="безубыт" sheetId="61" r:id="rId11"/>
    <sheet name="для текста" sheetId="3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kpn1" localSheetId="2">[45]Главн!$D$46</definedName>
    <definedName name="_kpn1">[46]Главн!$D$46</definedName>
    <definedName name="_kpn2" localSheetId="2">[45]Главн!$E$46</definedName>
    <definedName name="_kpn2">[46]Главн!$E$46</definedName>
    <definedName name="_kpn3" localSheetId="2">[45]Главн!$F$46</definedName>
    <definedName name="_kpn3">[46]Главн!$F$46</definedName>
    <definedName name="_kpn4" localSheetId="2">[45]Главн!$G$46</definedName>
    <definedName name="_kpn4">[46]Главн!$G$46</definedName>
    <definedName name="_kpn5" localSheetId="2">[45]Главн!$H$46</definedName>
    <definedName name="_kpn5">[46]Главн!$H$46</definedName>
    <definedName name="_kpn6" localSheetId="2">[45]Главн!$I$46</definedName>
    <definedName name="_kpn6">[46]Главн!$I$46</definedName>
    <definedName name="_kpn7" localSheetId="2">[45]Главн!$J$46</definedName>
    <definedName name="_kpn7">[46]Главн!$J$46</definedName>
    <definedName name="_kpn8" localSheetId="2">[45]Главн!$K$46</definedName>
    <definedName name="_kpn8">[46]Главн!$K$46</definedName>
    <definedName name="_nds1" localSheetId="2">[45]Главн!$D$42</definedName>
    <definedName name="_nds1">[46]Главн!$D$42</definedName>
    <definedName name="_nds2" localSheetId="2">[45]Главн!$E$42</definedName>
    <definedName name="_nds2">[46]Главн!$E$42</definedName>
    <definedName name="_nds3" localSheetId="2">[45]Главн!$F$42</definedName>
    <definedName name="_nds3">[46]Главн!$F$42</definedName>
    <definedName name="_nds4" localSheetId="2">[45]Главн!$G$42</definedName>
    <definedName name="_nds4">[46]Главн!$G$42</definedName>
    <definedName name="_nds5" localSheetId="2">[45]Главн!$H$42</definedName>
    <definedName name="_nds5">[46]Главн!$H$42</definedName>
    <definedName name="_nds6" localSheetId="2">[45]Главн!$I$42</definedName>
    <definedName name="_nds6">[46]Главн!$I$42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[3]NPV!$F$18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>#REF!</definedName>
    <definedName name="EUR">[7]Свод!$C$9</definedName>
    <definedName name="EURO">'[12]Осн. пара'!$C$8</definedName>
    <definedName name="imush1" localSheetId="2">[45]Главн!$D$44</definedName>
    <definedName name="imush1" localSheetId="8">[32]Главн!$D$44</definedName>
    <definedName name="imush1">[21]Главн!$D$44</definedName>
    <definedName name="imush2" localSheetId="2">[45]Главн!$E$44</definedName>
    <definedName name="imush2" localSheetId="8">[32]Главн!$E$44</definedName>
    <definedName name="imush2">[21]Главн!$E$44</definedName>
    <definedName name="imush3" localSheetId="2">[45]Главн!$F$44</definedName>
    <definedName name="imush3" localSheetId="8">[32]Главн!$F$44</definedName>
    <definedName name="imush3">[21]Главн!$F$44</definedName>
    <definedName name="imush4" localSheetId="2">[45]Главн!$G$44</definedName>
    <definedName name="imush4" localSheetId="8">[32]Главн!$G$44</definedName>
    <definedName name="imush4">[21]Главн!$G$44</definedName>
    <definedName name="imush5" localSheetId="2">[45]Главн!$H$44</definedName>
    <definedName name="imush5" localSheetId="8">[32]Главн!$H$44</definedName>
    <definedName name="imush5">[21]Главн!$H$44</definedName>
    <definedName name="imush6" localSheetId="2">[45]Главн!$I$44</definedName>
    <definedName name="imush6" localSheetId="8">[32]Главн!$I$44</definedName>
    <definedName name="imush6">[21]Главн!$I$44</definedName>
    <definedName name="imush7" localSheetId="2">[45]Главн!$J$44</definedName>
    <definedName name="imush7" localSheetId="8">[32]Главн!$J$44</definedName>
    <definedName name="imush7">[21]Главн!$J$44</definedName>
    <definedName name="imush8" localSheetId="2">[45]Главн!$K$44</definedName>
    <definedName name="imush8" localSheetId="8">[32]Главн!$K$44</definedName>
    <definedName name="imush8">[21]Главн!$K$44</definedName>
    <definedName name="inf" localSheetId="2">[45]Главн!$C$35</definedName>
    <definedName name="inf" localSheetId="8">[32]Главн!$C$35</definedName>
    <definedName name="inf">[21]Главн!$C$35</definedName>
    <definedName name="_kpn1" localSheetId="8">[32]Главн!$D$46</definedName>
    <definedName name="__kpn1">[21]Главн!$D$46</definedName>
    <definedName name="_kpn2" localSheetId="8">[32]Главн!$E$46</definedName>
    <definedName name="__kpn2">[21]Главн!$E$46</definedName>
    <definedName name="_kpn3" localSheetId="8">[32]Главн!$F$46</definedName>
    <definedName name="__kpn3">[21]Главн!$F$46</definedName>
    <definedName name="_kpn4" localSheetId="8">[32]Главн!$G$46</definedName>
    <definedName name="__kpn4">[21]Главн!$G$46</definedName>
    <definedName name="_kpn5" localSheetId="8">[32]Главн!$H$46</definedName>
    <definedName name="__kpn5">[21]Главн!$H$46</definedName>
    <definedName name="_kpn6" localSheetId="8">[32]Главн!$I$46</definedName>
    <definedName name="__kpn6">[21]Главн!$I$46</definedName>
    <definedName name="_kpn7" localSheetId="8">[32]Главн!$J$46</definedName>
    <definedName name="__kpn7">[21]Главн!$J$46</definedName>
    <definedName name="_kpn8" localSheetId="8">[32]Главн!$K$46</definedName>
    <definedName name="__kpn8">[21]Главн!$K$46</definedName>
    <definedName name="kurs" localSheetId="2">#REF!</definedName>
    <definedName name="kurs">#REF!</definedName>
    <definedName name="kurs2" localSheetId="2">[45]Главн!$C$31</definedName>
    <definedName name="kurs2" localSheetId="8">[32]Главн!$C$31</definedName>
    <definedName name="kurs2">[21]Главн!$C$31</definedName>
    <definedName name="lgot1" localSheetId="2">[45]Главн!$D$41</definedName>
    <definedName name="lgot1" localSheetId="8">[32]Главн!$D$41</definedName>
    <definedName name="lgot1">[21]Главн!$D$41</definedName>
    <definedName name="lgot2" localSheetId="2">[45]Главн!$E$41</definedName>
    <definedName name="lgot2" localSheetId="8">[32]Главн!$E$41</definedName>
    <definedName name="lgot2">[21]Главн!$E$41</definedName>
    <definedName name="lgot3" localSheetId="2">[45]Главн!$F$41</definedName>
    <definedName name="lgot3" localSheetId="8">[32]Главн!$F$41</definedName>
    <definedName name="lgot3">[21]Главн!$F$41</definedName>
    <definedName name="lgot4" localSheetId="2">[45]Главн!$G$41</definedName>
    <definedName name="lgot4" localSheetId="8">[32]Главн!$G$41</definedName>
    <definedName name="lgot4">[21]Главн!$G$41</definedName>
    <definedName name="lgot5" localSheetId="2">[45]Главн!$H$41</definedName>
    <definedName name="lgot5" localSheetId="8">[32]Главн!$H$41</definedName>
    <definedName name="lgot5">[21]Главн!$H$41</definedName>
    <definedName name="name" localSheetId="2">[45]Главн!$C$2</definedName>
    <definedName name="name" localSheetId="8">[32]Главн!$C$2</definedName>
    <definedName name="name">[21]Главн!$C$2</definedName>
    <definedName name="_nds1" localSheetId="8">[32]Главн!$D$42</definedName>
    <definedName name="__nds1">[21]Главн!$D$42</definedName>
    <definedName name="_nds2" localSheetId="8">[32]Главн!$E$42</definedName>
    <definedName name="__nds2">[21]Главн!$E$42</definedName>
    <definedName name="_nds3" localSheetId="8">[32]Главн!$F$42</definedName>
    <definedName name="__nds3">[21]Главн!$F$42</definedName>
    <definedName name="_nds4" localSheetId="8">[32]Главн!$G$42</definedName>
    <definedName name="__nds4">[21]Главн!$G$42</definedName>
    <definedName name="_nds5" localSheetId="8">[32]Главн!$H$42</definedName>
    <definedName name="__nds5">[21]Главн!$H$42</definedName>
    <definedName name="_nds6" localSheetId="8">[32]Главн!$I$42</definedName>
    <definedName name="__nds6">[21]Главн!$I$42</definedName>
    <definedName name="price">[7]Свод!$C$11</definedName>
    <definedName name="remont" localSheetId="2">[45]Амортиз!$F$125</definedName>
    <definedName name="remont" localSheetId="8">[32]Амортиз!$F$125</definedName>
    <definedName name="remont">[21]Амортиз!$F$125</definedName>
    <definedName name="RUR" localSheetId="2">[7]Свод!#REF!</definedName>
    <definedName name="RUR" localSheetId="4">[7]Свод!#REF!</definedName>
    <definedName name="RUR" localSheetId="7">[7]Свод!#REF!</definedName>
    <definedName name="RUR" localSheetId="5">[7]Свод!#REF!</definedName>
    <definedName name="RUR" localSheetId="6">[7]Свод!#REF!</definedName>
    <definedName name="RUR">[7]Свод!#REF!</definedName>
    <definedName name="USD" localSheetId="8">[7]Свод!#REF!</definedName>
    <definedName name="USD">'[12]Осн. пара'!$C$4</definedName>
    <definedName name="valuta" localSheetId="2">[45]Главн!$C$21</definedName>
    <definedName name="valuta" localSheetId="8">[32]Главн!$C$21</definedName>
    <definedName name="valuta">[21]Главн!$C$21</definedName>
    <definedName name="valuta2" localSheetId="2">[45]Главн!$C$19</definedName>
    <definedName name="valuta2" localSheetId="8">[32]Главн!$C$19</definedName>
    <definedName name="valuta2">[21]Главн!$C$19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8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8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8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>#REF!</definedName>
    <definedName name="Валюта" localSheetId="2">#REF!</definedName>
    <definedName name="Валюта">#REF!</definedName>
    <definedName name="вид_инвестиций" localSheetId="2">[45]Invest!$C$7:$C$240</definedName>
    <definedName name="вид_инвестиций" localSheetId="8">[32]Invest!$C$7:$C$240</definedName>
    <definedName name="вид_инвестиций">[21]Invest!$C$7:$C$240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'[45]Граф кап инвестиц'!$B$8:$B$12</definedName>
    <definedName name="вложения" localSheetId="8">'[32]Граф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8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[5]Осн.показ!$D$8</definedName>
    <definedName name="год1">[5]Осн.показ!$D$9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[11]Б1!$D$34+[11]Б1!$D$35+[11]Б1!$D$36+[11]Б1!$D$37+[11]Б1!$D$38+[11]Б1!$D$39</definedName>
    <definedName name="дз1н">[11]Б1!$C$34++[11]Б1!$C$35+[11]Б1!$C$36+[11]Б1!$C$37+[11]Б1!$C$38+[11]Б1!$C$39</definedName>
    <definedName name="дз94к" localSheetId="2">[11]Б1!#REF!+[11]Б1!#REF!+[11]Б1!#REF!+[11]Б1!#REF!+[11]Б1!#REF!+[11]Б1!#REF!+[11]Б1!#REF!</definedName>
    <definedName name="дз94к" localSheetId="4">[11]Б1!#REF!+[11]Б1!#REF!+[11]Б1!#REF!+[11]Б1!#REF!+[11]Б1!#REF!+[11]Б1!#REF!+[11]Б1!#REF!</definedName>
    <definedName name="дз94к" localSheetId="7">[11]Б1!#REF!+[11]Б1!#REF!+[11]Б1!#REF!+[11]Б1!#REF!+[11]Б1!#REF!+[11]Б1!#REF!+[11]Б1!#REF!</definedName>
    <definedName name="дз94к" localSheetId="5">[11]Б1!#REF!+[11]Б1!#REF!+[11]Б1!#REF!+[11]Б1!#REF!+[11]Б1!#REF!+[11]Б1!#REF!+[11]Б1!#REF!</definedName>
    <definedName name="дз94к" localSheetId="6">[11]Б1!#REF!+[11]Б1!#REF!+[11]Б1!#REF!+[11]Б1!#REF!+[11]Б1!#REF!+[11]Б1!#REF!+[11]Б1!#REF!</definedName>
    <definedName name="дз94к">[11]Б1!#REF!+[11]Б1!#REF!+[11]Б1!#REF!+[11]Б1!#REF!+[11]Б1!#REF!+[11]Б1!#REF!+[11]Б1!#REF!</definedName>
    <definedName name="дз94н" localSheetId="2">[11]Б1!#REF!+[11]Б1!#REF!+[11]Б1!#REF!+[11]Б1!#REF!+[11]Б1!#REF!+[11]Б1!#REF!+[11]Б1!#REF!</definedName>
    <definedName name="дз94н" localSheetId="4">[11]Б1!#REF!+[11]Б1!#REF!+[11]Б1!#REF!+[11]Б1!#REF!+[11]Б1!#REF!+[11]Б1!#REF!+[11]Б1!#REF!</definedName>
    <definedName name="дз94н" localSheetId="7">[11]Б1!#REF!+[11]Б1!#REF!+[11]Б1!#REF!+[11]Б1!#REF!+[11]Б1!#REF!+[11]Б1!#REF!+[11]Б1!#REF!</definedName>
    <definedName name="дз94н" localSheetId="5">[11]Б1!#REF!+[11]Б1!#REF!+[11]Б1!#REF!+[11]Б1!#REF!+[11]Б1!#REF!+[11]Б1!#REF!+[11]Б1!#REF!</definedName>
    <definedName name="дз94н" localSheetId="6">[11]Б1!#REF!+[11]Б1!#REF!+[11]Б1!#REF!+[11]Б1!#REF!+[11]Б1!#REF!+[11]Б1!#REF!+[11]Б1!#REF!</definedName>
    <definedName name="дз94н">[11]Б1!#REF!+[11]Б1!#REF!+[11]Б1!#REF!+[11]Б1!#REF!+[11]Б1!#REF!+[11]Б1!#REF!+[11]Б1!#REF!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8">[35]Исх!$C$16</definedName>
    <definedName name="долл" localSheetId="7">#REF!</definedName>
    <definedName name="долл" localSheetId="5">#REF!</definedName>
    <definedName name="долл" localSheetId="6">ФОТ!#REF!</definedName>
    <definedName name="долл">#REF!</definedName>
    <definedName name="доллар" localSheetId="2">[49]Параметры!$C$18</definedName>
    <definedName name="доллар" localSheetId="8">[36]Параметры!$C$18</definedName>
    <definedName name="доллар">[25]Параметры!$C$18</definedName>
    <definedName name="дох" localSheetId="2">#REF!</definedName>
    <definedName name="дох" localSheetId="8">#REF!</definedName>
    <definedName name="дох">#REF!</definedName>
    <definedName name="дсша" localSheetId="2">#REF!</definedName>
    <definedName name="дсша" localSheetId="4">#REF!</definedName>
    <definedName name="дсша" localSheetId="8">#REF!</definedName>
    <definedName name="дсша" localSheetId="7">#REF!</definedName>
    <definedName name="дсша" localSheetId="5">#REF!</definedName>
    <definedName name="дсша" localSheetId="6">#REF!</definedName>
    <definedName name="дсша">#REF!</definedName>
    <definedName name="дт" localSheetId="2">'[50]пост. пар.'!$C$13</definedName>
    <definedName name="дт" localSheetId="8">'[37]пост. пар.'!$C$13</definedName>
    <definedName name="дт">'[26]пост. пар.'!$C$13</definedName>
    <definedName name="евр">[5]Осн.показ!$D$13</definedName>
    <definedName name="евро" localSheetId="2">#REF!</definedName>
    <definedName name="евро" localSheetId="11">[8]Общ_Д!$B$16</definedName>
    <definedName name="евро">#REF!</definedName>
    <definedName name="ждд" localSheetId="2">#REF!</definedName>
    <definedName name="ждд" localSheetId="8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9">Инв!$4:$4</definedName>
    <definedName name="_xlnm.Print_Titles" localSheetId="8">кр!$A:$B</definedName>
    <definedName name="_xlnm.Print_Titles" localSheetId="6">ФОТ!$4:$4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[45]Главн!$C$8</definedName>
    <definedName name="Инвестор1" localSheetId="8">[32]Главн!$C$8</definedName>
    <definedName name="Инвестор1">[21]Главн!$C$8</definedName>
    <definedName name="Инвестор2" localSheetId="2">[45]Главн!$C$9</definedName>
    <definedName name="Инвестор2" localSheetId="8">[32]Главн!$C$9</definedName>
    <definedName name="Инвестор2">[21]Главн!$C$9</definedName>
    <definedName name="Инвестор3" localSheetId="2">[45]Главн!$C$10</definedName>
    <definedName name="Инвестор3" localSheetId="8">[32]Главн!$C$10</definedName>
    <definedName name="Инвестор3">[21]Главн!$C$10</definedName>
    <definedName name="инициатор" localSheetId="2">[45]Главн!$C$7</definedName>
    <definedName name="инициатор" localSheetId="8">[32]Главн!$C$7</definedName>
    <definedName name="инициатор">[21]Главн!$C$7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8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8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8">[5]Осн.показ!$D$15</definedName>
    <definedName name="кндс" localSheetId="7">#REF!</definedName>
    <definedName name="кндс" localSheetId="5">#REF!</definedName>
    <definedName name="кндс" localSheetId="6">ФОТ!#REF!</definedName>
    <definedName name="кндс">#REF!</definedName>
    <definedName name="кндс1" localSheetId="2">[51]Исх!$C$8</definedName>
    <definedName name="кндс1" localSheetId="10">[17]Исх!$C$8</definedName>
    <definedName name="кндс1" localSheetId="8">[35]Исх!$C$8</definedName>
    <definedName name="кндс1">[15]Исх!$C$8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>#REF!</definedName>
    <definedName name="кре" localSheetId="2">#REF!</definedName>
    <definedName name="кре" localSheetId="8">#REF!</definedName>
    <definedName name="кре">#REF!</definedName>
    <definedName name="Кредит_перераб" localSheetId="2">[9]Общ_Д!#REF!</definedName>
    <definedName name="Кредит_перераб" localSheetId="4">[9]Общ_Д!#REF!</definedName>
    <definedName name="Кредит_перераб" localSheetId="7">[9]Общ_Д!#REF!</definedName>
    <definedName name="Кредит_перераб" localSheetId="5">[9]Общ_Д!#REF!</definedName>
    <definedName name="Кредит_перераб" localSheetId="6">[9]Общ_Д!#REF!</definedName>
    <definedName name="Кредит_перераб">[9]Общ_Д!#REF!</definedName>
    <definedName name="Кредит_произв" localSheetId="2">[9]Общ_Д!#REF!</definedName>
    <definedName name="Кредит_произв" localSheetId="4">[9]Общ_Д!#REF!</definedName>
    <definedName name="Кредит_произв" localSheetId="7">[9]Общ_Д!#REF!</definedName>
    <definedName name="Кредит_произв" localSheetId="5">[9]Общ_Д!#REF!</definedName>
    <definedName name="Кредит_произв" localSheetId="6">[9]Общ_Д!#REF!</definedName>
    <definedName name="Кредит_произв">[9]Общ_Д!#REF!</definedName>
    <definedName name="Кредит_производство" localSheetId="2">[9]Общ_Д!#REF!</definedName>
    <definedName name="Кредит_производство" localSheetId="4">[9]Общ_Д!#REF!</definedName>
    <definedName name="Кредит_производство" localSheetId="7">[9]Общ_Д!#REF!</definedName>
    <definedName name="Кредит_производство" localSheetId="5">[9]Общ_Д!#REF!</definedName>
    <definedName name="Кредит_производство" localSheetId="6">[9]Общ_Д!#REF!</definedName>
    <definedName name="Кредит_производство">[9]Общ_Д!#REF!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[52]Исх!$C$5</definedName>
    <definedName name="курс" localSheetId="10">'[19]Данные,рентаб'!$C$23</definedName>
    <definedName name="Курс" localSheetId="8">'[13]Перем. затраты'!$P$45</definedName>
    <definedName name="курс">Исх!#REF!</definedName>
    <definedName name="курс_доллара_сегодня" localSheetId="2">[53]константы!$A$15</definedName>
    <definedName name="курс_доллара_сегодня" localSheetId="8">[39]константы!$A$15</definedName>
    <definedName name="курс_доллара_сегодня">[28]константы!$A$15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8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8">#REF!</definedName>
    <definedName name="Курс1" localSheetId="7">#REF!</definedName>
    <definedName name="Курс1" localSheetId="5">#REF!</definedName>
    <definedName name="Курс1" localSheetId="6">#REF!</definedName>
    <definedName name="Курс1">#REF!</definedName>
    <definedName name="Курс10" localSheetId="2">[14]Финпоки1!#REF!</definedName>
    <definedName name="Курс10" localSheetId="4">[14]Финпоки1!#REF!</definedName>
    <definedName name="Курс10" localSheetId="7">[14]Финпоки1!#REF!</definedName>
    <definedName name="Курс10" localSheetId="5">[14]Финпоки1!#REF!</definedName>
    <definedName name="Курс10" localSheetId="6">[14]Финпоки1!#REF!</definedName>
    <definedName name="Курс10">[14]Финпоки1!#REF!</definedName>
    <definedName name="курсСША" localSheetId="2">#REF!</definedName>
    <definedName name="курсСША" localSheetId="8">#REF!</definedName>
    <definedName name="курсСША">#REF!</definedName>
    <definedName name="мес" localSheetId="2">[54]Осн.показ!$C$10</definedName>
    <definedName name="мес" localSheetId="8">[41]Осн.показ!$C$10</definedName>
    <definedName name="мес">[24]Осн.показ!$C$10</definedName>
    <definedName name="мес1" localSheetId="2">[54]Осн.показ!$C$11</definedName>
    <definedName name="мес1" localSheetId="8">[41]Осн.показ!$C$11</definedName>
    <definedName name="мес1">[24]Осн.показ!$C$11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>#REF!</definedName>
    <definedName name="МОВ" localSheetId="2">#REF!</definedName>
    <definedName name="МОВ">#REF!</definedName>
    <definedName name="Мощность" localSheetId="2">[55]Параметры!$C$2</definedName>
    <definedName name="Мощность" localSheetId="8">[42]Параметры!$C$2</definedName>
    <definedName name="Мощность">[29]Параметры!$C$2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[52]Исх!$C$8</definedName>
    <definedName name="ндс" localSheetId="10">[18]Исх!$C$9</definedName>
    <definedName name="НДС" localSheetId="8">'[13]Перем. затраты'!$P$47</definedName>
    <definedName name="НДС" localSheetId="6">ФОТ!#REF!</definedName>
    <definedName name="ндс">Исх!$C$17</definedName>
    <definedName name="НДС_2003" localSheetId="11">'[13]Перем. затраты'!$P$48</definedName>
    <definedName name="НДС_2003" localSheetId="8">'[13]Перем. затраты'!$P$48</definedName>
    <definedName name="НДС_2003">'[4]Перем. затраты'!$P$48</definedName>
    <definedName name="НДС1" localSheetId="2">[51]Исх!$C$7</definedName>
    <definedName name="НДС1" localSheetId="10">[17]Исх!$C$7</definedName>
    <definedName name="НДС1" localSheetId="8">[35]Исх!$C$7</definedName>
    <definedName name="НДС1">[15]Исх!$C$7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'1-Ф3'!$A$1:$AH$35</definedName>
    <definedName name="_xlnm.Print_Area" localSheetId="1">'2-ф2'!$A$1:$AH$31</definedName>
    <definedName name="_xlnm.Print_Area" localSheetId="2">'3-Баланс'!$A$1:$AH$26</definedName>
    <definedName name="_xlnm.Print_Area" localSheetId="11">'для текста'!$A$1:$B$10</definedName>
    <definedName name="_xlnm.Print_Area" localSheetId="9">Инв!$A$1:$Q$20</definedName>
    <definedName name="_xlnm.Print_Area" localSheetId="8">кр!$A$1:$CO$13</definedName>
    <definedName name="обм" localSheetId="2">'3-Баланс'!#REF!</definedName>
    <definedName name="обм" localSheetId="10">[16]ф2!#REF!</definedName>
    <definedName name="обм" localSheetId="4">'2-ф2'!#REF!</definedName>
    <definedName name="обм" localSheetId="8">[40]ф2!#REF!</definedName>
    <definedName name="обм" localSheetId="7">'2-ф2'!#REF!</definedName>
    <definedName name="обм" localSheetId="5">'2-ф2'!#REF!</definedName>
    <definedName name="обм" localSheetId="6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>#REF!</definedName>
    <definedName name="общ" localSheetId="2">#REF!</definedName>
    <definedName name="общ" localSheetId="8">#REF!</definedName>
    <definedName name="общ">#REF!</definedName>
    <definedName name="объем">'[12]Осн. пара'!$C$6</definedName>
    <definedName name="объемгод">'[12]Осн. пара'!$C$7</definedName>
    <definedName name="ОС" localSheetId="2">[54]ОС!$D$27</definedName>
    <definedName name="ОС" localSheetId="8">[41]ОС!$D$27</definedName>
    <definedName name="ОС">[24]ОС!$D$27</definedName>
    <definedName name="отрасль">[11]Б1!$B$6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>#REF!</definedName>
    <definedName name="Показатели" localSheetId="2">[45]Главн!$C$2</definedName>
    <definedName name="Показатели" localSheetId="8">[32]Главн!$C$2</definedName>
    <definedName name="Показатели">[21]Главн!$C$2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8">'[43]Осн. пара'!$C$9</definedName>
    <definedName name="раб">'[30]Осн. пара'!$C$9</definedName>
    <definedName name="рас" localSheetId="2">[54]Осн.показ!$C$12</definedName>
    <definedName name="рас" localSheetId="8">[41]Осн.показ!$C$12</definedName>
    <definedName name="рас">[24]Осн.показ!$C$12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>#REF!</definedName>
    <definedName name="рос" localSheetId="2">'[50]пост. пар.'!$C$8</definedName>
    <definedName name="рос" localSheetId="8">'[37]пост.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ФОТ!#REF!</definedName>
    <definedName name="руб">#REF!</definedName>
    <definedName name="себ" localSheetId="2">'3-Баланс'!#REF!</definedName>
    <definedName name="себ" localSheetId="10">[16]ф2!#REF!</definedName>
    <definedName name="себ" localSheetId="4">'2-ф2'!#REF!</definedName>
    <definedName name="себ" localSheetId="8">[40]ф2!#REF!</definedName>
    <definedName name="себ" localSheetId="7">'2-ф2'!#REF!</definedName>
    <definedName name="себ" localSheetId="5">'2-ф2'!#REF!</definedName>
    <definedName name="себ" localSheetId="6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>#REF!</definedName>
    <definedName name="соц1" localSheetId="2">[45]Главн!$D$48</definedName>
    <definedName name="соц1" localSheetId="8">[32]Главн!$D$48</definedName>
    <definedName name="соц1">[21]Главн!$D$48</definedName>
    <definedName name="соц2" localSheetId="2">[45]Главн!$E$48</definedName>
    <definedName name="соц2" localSheetId="8">[32]Главн!$E$48</definedName>
    <definedName name="соц2">[21]Главн!$E$48</definedName>
    <definedName name="соц3" localSheetId="2">[45]Главн!$F$48</definedName>
    <definedName name="соц3" localSheetId="8">[32]Главн!$F$48</definedName>
    <definedName name="соц3">[21]Главн!$F$48</definedName>
    <definedName name="соц4" localSheetId="2">[45]Главн!$G$48</definedName>
    <definedName name="соц4" localSheetId="8">[32]Главн!$G$48</definedName>
    <definedName name="соц4">[21]Главн!$G$48</definedName>
    <definedName name="соц5" localSheetId="2">[45]Главн!$H$48</definedName>
    <definedName name="соц5" localSheetId="8">[32]Главн!$H$48</definedName>
    <definedName name="соц5">[21]Главн!$H$48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>#REF!</definedName>
    <definedName name="Срок_инвестиций1" localSheetId="2">[45]Invest!$I$7:$I$240</definedName>
    <definedName name="Срок_инвестиций1" localSheetId="8">[32]Invest!$I$7:$I$240</definedName>
    <definedName name="Срок_инвестиций1">[21]Invest!$I$7:$I$240</definedName>
    <definedName name="Срок_инвестиций2" localSheetId="2">[45]Invest!$M$7:$M$240</definedName>
    <definedName name="Срок_инвестиций2" localSheetId="8">[32]Invest!$M$7:$M$240</definedName>
    <definedName name="Срок_инвестиций2">[21]Invest!$M$7:$M$240</definedName>
    <definedName name="Срок_инвестиций3" localSheetId="2">[45]Invest!$Q$7:$Q$240</definedName>
    <definedName name="Срок_инвестиций3" localSheetId="8">[32]Invest!$Q$7:$Q$240</definedName>
    <definedName name="Срок_инвестиций3">[21]Invest!$Q$7:$Q$240</definedName>
    <definedName name="Срок_инвестиций4" localSheetId="2">[45]Invest!$U$7:$U$240</definedName>
    <definedName name="Срок_инвестиций4" localSheetId="8">[32]Invest!$U$7:$U$240</definedName>
    <definedName name="Срок_инвестиций4">[21]Invest!$U$7:$U$240</definedName>
    <definedName name="СрокПроекта" localSheetId="2">#REF!</definedName>
    <definedName name="СрокПроекта">#REF!</definedName>
    <definedName name="ст" localSheetId="2">[57]Норм!$F$9</definedName>
    <definedName name="ст" localSheetId="8">[44]Норм!$F$9</definedName>
    <definedName name="ст">[31]Норм!$F$9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8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>'[23]объекты обществаКокшетау'!#REF!</definedName>
    <definedName name="Сумма_инвест1" localSheetId="2">[45]Invest!$H$7:$H$240</definedName>
    <definedName name="Сумма_инвест1" localSheetId="8">[32]Invest!$H$7:$H$240</definedName>
    <definedName name="Сумма_инвест1">[21]Invest!$H$7:$H$240</definedName>
    <definedName name="Сумма_инвест2" localSheetId="2">[45]Invest!$L$7:$L$240</definedName>
    <definedName name="Сумма_инвест2" localSheetId="8">[32]Invest!$L$7:$L$240</definedName>
    <definedName name="Сумма_инвест2">[21]Invest!$L$7:$L$240</definedName>
    <definedName name="Сумма_инвест3" localSheetId="2">[45]Invest!$P$7:$P$240</definedName>
    <definedName name="Сумма_инвест3" localSheetId="8">[32]Invest!$P$7:$P$240</definedName>
    <definedName name="Сумма_инвест3">[21]Invest!$P$7:$P$240</definedName>
    <definedName name="Сумма_инвест4" localSheetId="2">[45]Invest!$T$7:$T$240</definedName>
    <definedName name="Сумма_инвест4" localSheetId="8">[32]Invest!$T$7:$T$240</definedName>
    <definedName name="Сумма_инвест4">[21]Invest!$T$7:$T$240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[53]константы!$F$2:$G$30</definedName>
    <definedName name="таблица_цен" localSheetId="8">[39]константы!$F$2:$G$30</definedName>
    <definedName name="таблица_цен">[28]константы!$F$2:$G$30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ФОТ!#REF!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[5]Осн.показ!$D$5</definedName>
    <definedName name="цен1" localSheetId="2">[54]Осн.показ!$C$6</definedName>
    <definedName name="цен1" localSheetId="8">[41]Осн.показ!$C$6</definedName>
    <definedName name="цен1">[24]Осн.показ!$C$6</definedName>
    <definedName name="цена">'[12]Осн. пара'!$C$2</definedName>
    <definedName name="Цена_бобов" localSheetId="2">[9]Дох!#REF!</definedName>
    <definedName name="Цена_бобов" localSheetId="4">[9]Дох!#REF!</definedName>
    <definedName name="Цена_бобов" localSheetId="7">[9]Дох!#REF!</definedName>
    <definedName name="Цена_бобов" localSheetId="5">[9]Дох!#REF!</definedName>
    <definedName name="Цена_бобов" localSheetId="6">[9]Дох!#REF!</definedName>
    <definedName name="Цена_бобов">[9]Дох!#REF!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>#REF!</definedName>
    <definedName name="цр" localSheetId="2">#REF!</definedName>
    <definedName name="цр">#REF!</definedName>
  </definedNames>
  <calcPr calcId="125725" fullCalcOnLoad="1"/>
</workbook>
</file>

<file path=xl/calcChain.xml><?xml version="1.0" encoding="utf-8"?>
<calcChain xmlns="http://schemas.openxmlformats.org/spreadsheetml/2006/main">
  <c r="B35" i="33"/>
  <c r="B33"/>
  <c r="B32"/>
  <c r="C22" i="66"/>
  <c r="D22" s="1"/>
  <c r="B16" i="63"/>
  <c r="B14"/>
  <c r="B15"/>
  <c r="B17" s="1"/>
  <c r="D8" i="62"/>
  <c r="E8"/>
  <c r="F8"/>
  <c r="G8"/>
  <c r="H8"/>
  <c r="I8"/>
  <c r="C8"/>
  <c r="D7"/>
  <c r="E7"/>
  <c r="F7"/>
  <c r="G7"/>
  <c r="H7"/>
  <c r="I7"/>
  <c r="C7"/>
  <c r="B6"/>
  <c r="C6" s="1"/>
  <c r="E6"/>
  <c r="D37" i="33" s="1"/>
  <c r="C10" i="65"/>
  <c r="C12" i="59"/>
  <c r="D12"/>
  <c r="B12"/>
  <c r="C36" i="33"/>
  <c r="D36"/>
  <c r="E36"/>
  <c r="F36"/>
  <c r="G36"/>
  <c r="B36"/>
  <c r="B34"/>
  <c r="B12" i="63"/>
  <c r="B11"/>
  <c r="B10"/>
  <c r="D4" i="62"/>
  <c r="D9" i="59"/>
  <c r="E7"/>
  <c r="F7"/>
  <c r="G7"/>
  <c r="H7"/>
  <c r="P7"/>
  <c r="E5"/>
  <c r="F13" i="28"/>
  <c r="C36" i="66"/>
  <c r="F5" i="59"/>
  <c r="G5"/>
  <c r="H5"/>
  <c r="J5"/>
  <c r="K5"/>
  <c r="L5"/>
  <c r="M5"/>
  <c r="N5"/>
  <c r="O5"/>
  <c r="P5"/>
  <c r="D6"/>
  <c r="D5"/>
  <c r="D8"/>
  <c r="AF5" i="28"/>
  <c r="AG5"/>
  <c r="AH5"/>
  <c r="AE5"/>
  <c r="AD3" i="67"/>
  <c r="AE3"/>
  <c r="AF3"/>
  <c r="AG3"/>
  <c r="AH3"/>
  <c r="B16" i="33"/>
  <c r="B15"/>
  <c r="B13"/>
  <c r="D13" i="67"/>
  <c r="E13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C7" i="53"/>
  <c r="D7" i="66"/>
  <c r="E7"/>
  <c r="F7"/>
  <c r="G7"/>
  <c r="H7"/>
  <c r="I7"/>
  <c r="B13" i="64"/>
  <c r="H11" i="59"/>
  <c r="H14"/>
  <c r="I11"/>
  <c r="J11"/>
  <c r="K11"/>
  <c r="L11"/>
  <c r="M11"/>
  <c r="N11"/>
  <c r="D13"/>
  <c r="D10"/>
  <c r="E18" i="65"/>
  <c r="B4" i="63"/>
  <c r="I4" i="66"/>
  <c r="AE3" i="8"/>
  <c r="AF3"/>
  <c r="AG3"/>
  <c r="AH3"/>
  <c r="AH23"/>
  <c r="Q40" i="67"/>
  <c r="R40"/>
  <c r="S40"/>
  <c r="T40"/>
  <c r="U40"/>
  <c r="V40"/>
  <c r="W40"/>
  <c r="X40"/>
  <c r="Y40"/>
  <c r="Z40"/>
  <c r="AA40"/>
  <c r="AB40"/>
  <c r="B21" i="66"/>
  <c r="C30" i="65"/>
  <c r="C27"/>
  <c r="C28"/>
  <c r="C29"/>
  <c r="C26"/>
  <c r="K2"/>
  <c r="C2" i="67"/>
  <c r="B2" i="8"/>
  <c r="B4" i="28"/>
  <c r="AB34" i="67"/>
  <c r="AA34"/>
  <c r="Z34"/>
  <c r="Y34"/>
  <c r="X34"/>
  <c r="W34"/>
  <c r="V34"/>
  <c r="U34"/>
  <c r="T34"/>
  <c r="S34"/>
  <c r="R34"/>
  <c r="Q34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C21"/>
  <c r="AC20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C6"/>
  <c r="R4"/>
  <c r="S4"/>
  <c r="T4"/>
  <c r="U4"/>
  <c r="V4"/>
  <c r="W4"/>
  <c r="X4"/>
  <c r="Y4"/>
  <c r="Z4"/>
  <c r="AA4"/>
  <c r="AB4"/>
  <c r="E4"/>
  <c r="F4"/>
  <c r="G4"/>
  <c r="H4"/>
  <c r="I4"/>
  <c r="J4"/>
  <c r="K4"/>
  <c r="L4"/>
  <c r="M4"/>
  <c r="N4"/>
  <c r="O4"/>
  <c r="E13" i="28"/>
  <c r="D13"/>
  <c r="D9" i="67"/>
  <c r="E10" i="28"/>
  <c r="F10"/>
  <c r="E11"/>
  <c r="F11"/>
  <c r="G11"/>
  <c r="H11"/>
  <c r="D10"/>
  <c r="D11"/>
  <c r="D7"/>
  <c r="P7"/>
  <c r="B7"/>
  <c r="D11" i="66"/>
  <c r="E11"/>
  <c r="F11"/>
  <c r="G11"/>
  <c r="H11"/>
  <c r="I11"/>
  <c r="D9"/>
  <c r="E9"/>
  <c r="F9"/>
  <c r="G9"/>
  <c r="H9"/>
  <c r="I9"/>
  <c r="I29"/>
  <c r="H29"/>
  <c r="G29"/>
  <c r="F29"/>
  <c r="E29"/>
  <c r="D29"/>
  <c r="C29"/>
  <c r="D26"/>
  <c r="E26"/>
  <c r="F26"/>
  <c r="G26"/>
  <c r="H26"/>
  <c r="I26"/>
  <c r="D14"/>
  <c r="E14"/>
  <c r="F14"/>
  <c r="G14"/>
  <c r="H14"/>
  <c r="I14"/>
  <c r="D13"/>
  <c r="E13"/>
  <c r="F13"/>
  <c r="G13"/>
  <c r="H13"/>
  <c r="I13"/>
  <c r="D12"/>
  <c r="E12"/>
  <c r="F12"/>
  <c r="G12"/>
  <c r="H12"/>
  <c r="I12"/>
  <c r="D8"/>
  <c r="E8"/>
  <c r="F8"/>
  <c r="G8"/>
  <c r="H8"/>
  <c r="I8"/>
  <c r="E5"/>
  <c r="F5"/>
  <c r="G5"/>
  <c r="H5"/>
  <c r="I5"/>
  <c r="E20" i="65"/>
  <c r="E19"/>
  <c r="E14"/>
  <c r="E15"/>
  <c r="E7"/>
  <c r="D22"/>
  <c r="E21"/>
  <c r="D16"/>
  <c r="C16"/>
  <c r="D12"/>
  <c r="E11"/>
  <c r="E10"/>
  <c r="D8"/>
  <c r="C8"/>
  <c r="E6"/>
  <c r="AG21" i="28"/>
  <c r="AG36" i="67"/>
  <c r="AH21" i="28"/>
  <c r="AH36" i="67"/>
  <c r="AG27" i="28"/>
  <c r="AH27"/>
  <c r="AG23" i="8"/>
  <c r="AE23"/>
  <c r="AF23"/>
  <c r="AD23"/>
  <c r="D24"/>
  <c r="Q24"/>
  <c r="Q23"/>
  <c r="D23"/>
  <c r="CO8" i="64"/>
  <c r="CE6"/>
  <c r="CF6"/>
  <c r="CG6"/>
  <c r="CH6"/>
  <c r="CI6"/>
  <c r="CJ6"/>
  <c r="CK6"/>
  <c r="CL6"/>
  <c r="CM6"/>
  <c r="CN6"/>
  <c r="CB8"/>
  <c r="BR6"/>
  <c r="BS6"/>
  <c r="BT6"/>
  <c r="BU6"/>
  <c r="BV6"/>
  <c r="BW6"/>
  <c r="BX6"/>
  <c r="BY6"/>
  <c r="BZ6"/>
  <c r="CA6"/>
  <c r="E6" i="28"/>
  <c r="F6"/>
  <c r="G6"/>
  <c r="H6"/>
  <c r="I6"/>
  <c r="J6"/>
  <c r="K6"/>
  <c r="L6"/>
  <c r="M6"/>
  <c r="N6"/>
  <c r="O6"/>
  <c r="E4" i="8"/>
  <c r="E24"/>
  <c r="E32" i="28"/>
  <c r="E30" s="1"/>
  <c r="F32"/>
  <c r="F30" s="1"/>
  <c r="G32"/>
  <c r="G30" s="1"/>
  <c r="G33" s="1"/>
  <c r="D32"/>
  <c r="D30"/>
  <c r="D15"/>
  <c r="D14" i="8"/>
  <c r="B5" i="64"/>
  <c r="R4" i="8"/>
  <c r="S4"/>
  <c r="R6" i="28"/>
  <c r="S6"/>
  <c r="T6"/>
  <c r="U6"/>
  <c r="V6"/>
  <c r="W6"/>
  <c r="X6"/>
  <c r="Y6"/>
  <c r="Z6"/>
  <c r="AA6"/>
  <c r="AB6"/>
  <c r="BE6" i="64"/>
  <c r="BF6"/>
  <c r="BG6"/>
  <c r="BH6"/>
  <c r="BI6"/>
  <c r="BJ6"/>
  <c r="BK6"/>
  <c r="BL6"/>
  <c r="BM6"/>
  <c r="BN6"/>
  <c r="AR6"/>
  <c r="AS6"/>
  <c r="AT6"/>
  <c r="AU6"/>
  <c r="AV6"/>
  <c r="AW6"/>
  <c r="AX6"/>
  <c r="AY6"/>
  <c r="AZ6"/>
  <c r="BA6"/>
  <c r="AE6"/>
  <c r="AF6"/>
  <c r="AG6"/>
  <c r="AH6"/>
  <c r="AI6"/>
  <c r="AJ6"/>
  <c r="AK6"/>
  <c r="AL6"/>
  <c r="AM6"/>
  <c r="AN6"/>
  <c r="R6"/>
  <c r="S6"/>
  <c r="T6"/>
  <c r="U6"/>
  <c r="V6"/>
  <c r="W6"/>
  <c r="X6"/>
  <c r="Y6"/>
  <c r="Z6"/>
  <c r="AA6"/>
  <c r="E6"/>
  <c r="F6"/>
  <c r="G6"/>
  <c r="H6"/>
  <c r="I6"/>
  <c r="J6"/>
  <c r="K6"/>
  <c r="L6"/>
  <c r="M6"/>
  <c r="N6"/>
  <c r="C4" i="63"/>
  <c r="E4" i="62"/>
  <c r="D4" i="63"/>
  <c r="BO8" i="64"/>
  <c r="BB8"/>
  <c r="AO8"/>
  <c r="AJ36" i="28"/>
  <c r="AK36"/>
  <c r="AL36"/>
  <c r="AM36"/>
  <c r="AN36"/>
  <c r="AO36"/>
  <c r="AJ35"/>
  <c r="AK35"/>
  <c r="AL35"/>
  <c r="AM35"/>
  <c r="AN35"/>
  <c r="AO35"/>
  <c r="C3" i="61"/>
  <c r="D3"/>
  <c r="E3"/>
  <c r="F3"/>
  <c r="G3"/>
  <c r="H3"/>
  <c r="AC22" i="28"/>
  <c r="AC21"/>
  <c r="AC36" i="67"/>
  <c r="AE27" i="28"/>
  <c r="AC29"/>
  <c r="AC28"/>
  <c r="AC27"/>
  <c r="AJ39"/>
  <c r="AC31"/>
  <c r="P31"/>
  <c r="B31"/>
  <c r="AD21"/>
  <c r="AD36" i="67"/>
  <c r="AE21" i="28"/>
  <c r="AE36" i="67"/>
  <c r="AF21" i="28"/>
  <c r="AF36" i="67"/>
  <c r="Q27" i="28"/>
  <c r="R27"/>
  <c r="S27"/>
  <c r="T27"/>
  <c r="U27"/>
  <c r="V27"/>
  <c r="W27"/>
  <c r="X27"/>
  <c r="Y27"/>
  <c r="Z27"/>
  <c r="AA27"/>
  <c r="AB27"/>
  <c r="Q21"/>
  <c r="R21"/>
  <c r="S21"/>
  <c r="T21"/>
  <c r="U21"/>
  <c r="V21"/>
  <c r="W21"/>
  <c r="X21"/>
  <c r="Y21"/>
  <c r="Z21"/>
  <c r="AA21"/>
  <c r="AB21"/>
  <c r="AF27"/>
  <c r="AD27"/>
  <c r="E15"/>
  <c r="F15"/>
  <c r="H32"/>
  <c r="H30"/>
  <c r="H33" s="1"/>
  <c r="F4" i="8"/>
  <c r="F24"/>
  <c r="G4"/>
  <c r="G24"/>
  <c r="H4"/>
  <c r="I4"/>
  <c r="F5"/>
  <c r="F16"/>
  <c r="F16" i="28"/>
  <c r="F26" i="8"/>
  <c r="D10" i="66"/>
  <c r="E10"/>
  <c r="F10"/>
  <c r="G10"/>
  <c r="H10"/>
  <c r="I10"/>
  <c r="E5" i="8"/>
  <c r="E16"/>
  <c r="E16" i="28" s="1"/>
  <c r="E26" i="8"/>
  <c r="D5"/>
  <c r="D16"/>
  <c r="D16" i="28" s="1"/>
  <c r="D26" i="8"/>
  <c r="E8"/>
  <c r="F8"/>
  <c r="D8"/>
  <c r="P10"/>
  <c r="H24"/>
  <c r="AC10"/>
  <c r="R24"/>
  <c r="F11"/>
  <c r="M11" i="28"/>
  <c r="N11"/>
  <c r="K11"/>
  <c r="O11"/>
  <c r="L11"/>
  <c r="J11"/>
  <c r="I11"/>
  <c r="P11" s="1"/>
  <c r="B11" s="1"/>
  <c r="P7" i="8"/>
  <c r="C17" i="67"/>
  <c r="J4" i="8"/>
  <c r="I24"/>
  <c r="E11"/>
  <c r="C24" i="67"/>
  <c r="C16" s="1"/>
  <c r="C11"/>
  <c r="C5" s="1"/>
  <c r="K4" i="8"/>
  <c r="J24"/>
  <c r="L4"/>
  <c r="K24"/>
  <c r="M4"/>
  <c r="L24"/>
  <c r="M24"/>
  <c r="N4"/>
  <c r="O4"/>
  <c r="O24"/>
  <c r="D19" i="67"/>
  <c r="F19" i="65"/>
  <c r="I6" i="59"/>
  <c r="Q6"/>
  <c r="Q5"/>
  <c r="B17"/>
  <c r="E11"/>
  <c r="I5"/>
  <c r="E9" i="28"/>
  <c r="E16" i="65"/>
  <c r="F21"/>
  <c r="E22"/>
  <c r="C12"/>
  <c r="C24"/>
  <c r="C22"/>
  <c r="P10" i="67"/>
  <c r="AC10"/>
  <c r="C37" i="66"/>
  <c r="D34"/>
  <c r="P27" i="8"/>
  <c r="T4"/>
  <c r="S24"/>
  <c r="N24"/>
  <c r="B10"/>
  <c r="U4"/>
  <c r="T24"/>
  <c r="V4"/>
  <c r="U24"/>
  <c r="W4"/>
  <c r="V24"/>
  <c r="X4"/>
  <c r="W24"/>
  <c r="X24"/>
  <c r="Y4"/>
  <c r="Z4"/>
  <c r="Y24"/>
  <c r="AA4"/>
  <c r="Z24"/>
  <c r="AB4"/>
  <c r="AB24"/>
  <c r="AA24"/>
  <c r="G12" i="59"/>
  <c r="G11" s="1"/>
  <c r="G14" s="1"/>
  <c r="E14"/>
  <c r="D28" i="8"/>
  <c r="P11" i="59"/>
  <c r="P14"/>
  <c r="Q13"/>
  <c r="C17"/>
  <c r="D22" i="28"/>
  <c r="D24" i="65"/>
  <c r="D11" i="8"/>
  <c r="D15"/>
  <c r="D17" s="1"/>
  <c r="D18" s="1"/>
  <c r="D26" i="67" s="1"/>
  <c r="D9" i="28"/>
  <c r="G21" i="65"/>
  <c r="F11"/>
  <c r="E9" i="67"/>
  <c r="F9" s="1"/>
  <c r="D7" i="59"/>
  <c r="M7"/>
  <c r="M14"/>
  <c r="K7"/>
  <c r="K14"/>
  <c r="J7"/>
  <c r="J14"/>
  <c r="L7"/>
  <c r="L14"/>
  <c r="O7"/>
  <c r="G19" i="65"/>
  <c r="F6"/>
  <c r="F7"/>
  <c r="H7" s="1"/>
  <c r="F4" i="62"/>
  <c r="E4" i="63"/>
  <c r="O28" i="8"/>
  <c r="O22" i="28"/>
  <c r="O21"/>
  <c r="O24" s="1"/>
  <c r="O11" i="59"/>
  <c r="O14"/>
  <c r="K28" i="8"/>
  <c r="K22" i="28"/>
  <c r="K21"/>
  <c r="K24" s="1"/>
  <c r="J28" i="8"/>
  <c r="J22" i="28"/>
  <c r="J21"/>
  <c r="J24" s="1"/>
  <c r="Q9" i="59"/>
  <c r="N7"/>
  <c r="N14"/>
  <c r="I7"/>
  <c r="I14"/>
  <c r="Q8"/>
  <c r="I22" i="28"/>
  <c r="I21"/>
  <c r="I24" s="1"/>
  <c r="I28" i="8"/>
  <c r="L22" i="28"/>
  <c r="L21"/>
  <c r="L24" s="1"/>
  <c r="L28" i="8"/>
  <c r="G4" i="62"/>
  <c r="F4" i="63"/>
  <c r="AD11" i="28"/>
  <c r="T11"/>
  <c r="X11"/>
  <c r="AB11"/>
  <c r="R11"/>
  <c r="V11"/>
  <c r="Z11"/>
  <c r="S11"/>
  <c r="U11"/>
  <c r="W11"/>
  <c r="Y11"/>
  <c r="AA11"/>
  <c r="Q7" i="59"/>
  <c r="B18"/>
  <c r="H22" i="28"/>
  <c r="H21"/>
  <c r="H24" s="1"/>
  <c r="H28" i="8"/>
  <c r="M22" i="28"/>
  <c r="M21"/>
  <c r="M24" s="1"/>
  <c r="M28" i="8"/>
  <c r="AC7"/>
  <c r="Q11" i="28"/>
  <c r="AE11"/>
  <c r="C20" i="66"/>
  <c r="C18" i="59"/>
  <c r="AF11" i="28"/>
  <c r="AH11"/>
  <c r="AG11"/>
  <c r="B7" i="8"/>
  <c r="G15" i="28"/>
  <c r="F7" i="64"/>
  <c r="G27" i="28"/>
  <c r="H15"/>
  <c r="G7" i="64"/>
  <c r="H27" i="28"/>
  <c r="H7" i="64"/>
  <c r="I27" i="28"/>
  <c r="I7" i="64"/>
  <c r="J27" i="28"/>
  <c r="J7" i="64"/>
  <c r="K27" i="28"/>
  <c r="K7" i="64"/>
  <c r="L27" i="28"/>
  <c r="L7" i="64"/>
  <c r="M27" i="28"/>
  <c r="M7" i="64"/>
  <c r="N27" i="28"/>
  <c r="N7" i="64"/>
  <c r="O27" i="28"/>
  <c r="AB8" i="64"/>
  <c r="CO10"/>
  <c r="AH32" i="28"/>
  <c r="AH30" s="1"/>
  <c r="AH33" s="1"/>
  <c r="N22"/>
  <c r="N21"/>
  <c r="N24" s="1"/>
  <c r="N28" i="8"/>
  <c r="G22" i="28"/>
  <c r="G21"/>
  <c r="G24" s="1"/>
  <c r="G28" i="8"/>
  <c r="E12" i="65"/>
  <c r="H4" i="62"/>
  <c r="F6"/>
  <c r="E37" i="33" s="1"/>
  <c r="F9" i="62"/>
  <c r="AE6" i="8" s="1"/>
  <c r="H6" i="62"/>
  <c r="G37" i="33"/>
  <c r="H9" i="62"/>
  <c r="D6"/>
  <c r="C37" i="33" s="1"/>
  <c r="I6" i="62"/>
  <c r="I9" s="1"/>
  <c r="AH6" i="8" s="1"/>
  <c r="G6" i="62"/>
  <c r="F37" i="33" s="1"/>
  <c r="E8" i="65"/>
  <c r="E24"/>
  <c r="F10"/>
  <c r="H10" s="1"/>
  <c r="G4" i="63"/>
  <c r="I4" i="62"/>
  <c r="H4" i="63"/>
  <c r="AG6" i="8"/>
  <c r="AG10" i="28"/>
  <c r="AG9" s="1"/>
  <c r="F38" i="33" s="1"/>
  <c r="G36" i="66"/>
  <c r="F36"/>
  <c r="I36"/>
  <c r="D36"/>
  <c r="D37"/>
  <c r="E34"/>
  <c r="E36"/>
  <c r="H36"/>
  <c r="E37"/>
  <c r="F34"/>
  <c r="F37"/>
  <c r="G34"/>
  <c r="G37"/>
  <c r="H34"/>
  <c r="H37"/>
  <c r="I34"/>
  <c r="I37"/>
  <c r="F12" i="65"/>
  <c r="D8" i="67"/>
  <c r="E8"/>
  <c r="F8" i="65"/>
  <c r="H6"/>
  <c r="D21" i="28"/>
  <c r="H19" i="65"/>
  <c r="I19" s="1"/>
  <c r="K19" s="1"/>
  <c r="J19"/>
  <c r="D29" i="8"/>
  <c r="F12" i="59"/>
  <c r="D11"/>
  <c r="D14"/>
  <c r="AG5" i="8"/>
  <c r="AC11" i="28"/>
  <c r="H11" i="65"/>
  <c r="I11"/>
  <c r="H21"/>
  <c r="I21"/>
  <c r="J21"/>
  <c r="K21"/>
  <c r="D17" i="67"/>
  <c r="F18" i="65"/>
  <c r="F22" s="1"/>
  <c r="F20"/>
  <c r="F15"/>
  <c r="F16" s="1"/>
  <c r="F24" s="1"/>
  <c r="F14"/>
  <c r="G11"/>
  <c r="J11" s="1"/>
  <c r="G6"/>
  <c r="G8"/>
  <c r="G7"/>
  <c r="G10"/>
  <c r="G12" s="1"/>
  <c r="F9" i="28"/>
  <c r="F8" i="67" s="1"/>
  <c r="H14" i="65"/>
  <c r="G14"/>
  <c r="J7"/>
  <c r="H18"/>
  <c r="AG16" i="8"/>
  <c r="AG16" i="28"/>
  <c r="G4" i="61"/>
  <c r="AG26" i="8"/>
  <c r="D24" i="28"/>
  <c r="D12" i="67"/>
  <c r="I6" i="65"/>
  <c r="H20"/>
  <c r="I20" s="1"/>
  <c r="G20"/>
  <c r="J20" s="1"/>
  <c r="Q12" i="59"/>
  <c r="Q11"/>
  <c r="B19" s="1"/>
  <c r="C40" i="66" s="1"/>
  <c r="I42" s="1"/>
  <c r="F11" i="59"/>
  <c r="F14"/>
  <c r="D31" i="8"/>
  <c r="D30"/>
  <c r="J6" i="65"/>
  <c r="J8" s="1"/>
  <c r="J10"/>
  <c r="D14" i="67"/>
  <c r="D11" s="1"/>
  <c r="Q14" i="59"/>
  <c r="D15" s="1"/>
  <c r="H22" i="65"/>
  <c r="D17" i="28"/>
  <c r="E28" i="8"/>
  <c r="E22" i="28"/>
  <c r="K6" i="65"/>
  <c r="I18"/>
  <c r="I22"/>
  <c r="I14"/>
  <c r="J14"/>
  <c r="E29" i="8"/>
  <c r="C19" i="59"/>
  <c r="C20" s="1"/>
  <c r="E21" i="28"/>
  <c r="D12"/>
  <c r="D18" s="1"/>
  <c r="E24"/>
  <c r="E12" i="67"/>
  <c r="E11" s="1"/>
  <c r="C42" i="66"/>
  <c r="C30" s="1"/>
  <c r="O13" i="8" s="1"/>
  <c r="E42" i="66"/>
  <c r="E30" s="1"/>
  <c r="AD13" i="8"/>
  <c r="AD35" i="67" s="1"/>
  <c r="G42" i="66"/>
  <c r="G30" s="1"/>
  <c r="AF13" i="8"/>
  <c r="AF35" i="67" s="1"/>
  <c r="D42" i="66"/>
  <c r="D30" s="1"/>
  <c r="C43"/>
  <c r="D40" s="1"/>
  <c r="F42"/>
  <c r="F30" s="1"/>
  <c r="AE13" i="8"/>
  <c r="AE35" i="67" s="1"/>
  <c r="H42" i="66"/>
  <c r="H30" s="1"/>
  <c r="AG13" i="8"/>
  <c r="AG35" i="67" s="1"/>
  <c r="C28" i="66"/>
  <c r="I30"/>
  <c r="AH13" i="8" s="1"/>
  <c r="AH35" i="67" s="1"/>
  <c r="E30" i="8"/>
  <c r="E31"/>
  <c r="D28" i="28"/>
  <c r="D25" i="67" s="1"/>
  <c r="E14"/>
  <c r="G13" i="8"/>
  <c r="H13"/>
  <c r="E17" i="28"/>
  <c r="W13" i="8"/>
  <c r="Z13"/>
  <c r="T13"/>
  <c r="V13"/>
  <c r="Q13"/>
  <c r="AA13"/>
  <c r="E12" i="28"/>
  <c r="E18"/>
  <c r="D24" i="67" l="1"/>
  <c r="U13" i="8"/>
  <c r="S13"/>
  <c r="Y13"/>
  <c r="R13"/>
  <c r="X13"/>
  <c r="AB13"/>
  <c r="D27" i="28"/>
  <c r="D33" s="1"/>
  <c r="D29"/>
  <c r="M13" i="8"/>
  <c r="C31" i="66"/>
  <c r="E28" i="28"/>
  <c r="D43" i="66"/>
  <c r="E40" s="1"/>
  <c r="D28"/>
  <c r="D31" s="1"/>
  <c r="J13" i="8"/>
  <c r="K13"/>
  <c r="L13"/>
  <c r="I13"/>
  <c r="P13" s="1"/>
  <c r="N13"/>
  <c r="K14" i="65"/>
  <c r="AE5" i="8"/>
  <c r="AE10" i="28"/>
  <c r="AE9" s="1"/>
  <c r="F28" i="8"/>
  <c r="F22" i="28"/>
  <c r="B6" i="63"/>
  <c r="B5" s="1"/>
  <c r="C6"/>
  <c r="C5" s="1"/>
  <c r="D6"/>
  <c r="D5" s="1"/>
  <c r="AD9" i="8" s="1"/>
  <c r="F6" i="63"/>
  <c r="F5" s="1"/>
  <c r="AF9" i="8" s="1"/>
  <c r="G6" i="63"/>
  <c r="G5" s="1"/>
  <c r="AG9" i="8" s="1"/>
  <c r="E6" i="63"/>
  <c r="E5" s="1"/>
  <c r="AE9" i="8" s="1"/>
  <c r="H6" i="63"/>
  <c r="H5" s="1"/>
  <c r="AH9" i="8" s="1"/>
  <c r="B20" i="59"/>
  <c r="K20" i="65"/>
  <c r="C28" i="67"/>
  <c r="J12" i="65"/>
  <c r="K11"/>
  <c r="I10"/>
  <c r="I12" s="1"/>
  <c r="H12"/>
  <c r="K10"/>
  <c r="AH10" i="28"/>
  <c r="AH9" s="1"/>
  <c r="AH5" i="8"/>
  <c r="H8" i="65"/>
  <c r="B37" i="33"/>
  <c r="C9" i="62"/>
  <c r="D20" i="66"/>
  <c r="E22"/>
  <c r="E9" i="62"/>
  <c r="AD6" i="8" s="1"/>
  <c r="G18" i="65"/>
  <c r="H15"/>
  <c r="G15"/>
  <c r="G9" i="62"/>
  <c r="AF6" i="8" s="1"/>
  <c r="D9" i="62"/>
  <c r="I7" i="65"/>
  <c r="K7" s="1"/>
  <c r="K8" s="1"/>
  <c r="AF10" i="28" l="1"/>
  <c r="AF9" s="1"/>
  <c r="AF5" i="8"/>
  <c r="AD5"/>
  <c r="AD10" i="28"/>
  <c r="AD9" s="1"/>
  <c r="R6" i="8"/>
  <c r="AA6"/>
  <c r="AB6"/>
  <c r="Y6"/>
  <c r="W6"/>
  <c r="T6"/>
  <c r="U6"/>
  <c r="V6"/>
  <c r="S6"/>
  <c r="Z6"/>
  <c r="X6"/>
  <c r="Q6"/>
  <c r="J15" i="65"/>
  <c r="J16" s="1"/>
  <c r="G16"/>
  <c r="G24" s="1"/>
  <c r="J18"/>
  <c r="J22" s="1"/>
  <c r="K18"/>
  <c r="K22" s="1"/>
  <c r="G22"/>
  <c r="E20" i="66"/>
  <c r="F22"/>
  <c r="L6" i="8"/>
  <c r="N6"/>
  <c r="M6"/>
  <c r="G6"/>
  <c r="J6"/>
  <c r="H6"/>
  <c r="I6"/>
  <c r="O6"/>
  <c r="K6"/>
  <c r="AH26"/>
  <c r="AH11"/>
  <c r="AH16"/>
  <c r="AH16" i="28" s="1"/>
  <c r="H4" i="61"/>
  <c r="AE8" i="8"/>
  <c r="AE13" i="28"/>
  <c r="AF8" i="8"/>
  <c r="AF13" i="28"/>
  <c r="T9" i="8"/>
  <c r="AA9"/>
  <c r="Z9"/>
  <c r="S9"/>
  <c r="V9"/>
  <c r="AB9"/>
  <c r="W9"/>
  <c r="Q9"/>
  <c r="X9"/>
  <c r="R9"/>
  <c r="Y9"/>
  <c r="U9"/>
  <c r="F21" i="28"/>
  <c r="P22"/>
  <c r="D38" i="33"/>
  <c r="E28" i="66"/>
  <c r="E31" s="1"/>
  <c r="E43"/>
  <c r="F40" s="1"/>
  <c r="C7" i="64"/>
  <c r="I8" i="65"/>
  <c r="K12"/>
  <c r="J24"/>
  <c r="E29" i="28"/>
  <c r="D7" i="64" s="1"/>
  <c r="I15" i="65"/>
  <c r="I16" s="1"/>
  <c r="H16"/>
  <c r="G38" i="33"/>
  <c r="AH13" i="28"/>
  <c r="AH8" i="8"/>
  <c r="AG8"/>
  <c r="AG13" i="28"/>
  <c r="AD13"/>
  <c r="AD8" i="8"/>
  <c r="K9"/>
  <c r="O9"/>
  <c r="G9"/>
  <c r="N9"/>
  <c r="I9"/>
  <c r="M9"/>
  <c r="L9"/>
  <c r="J9"/>
  <c r="H9"/>
  <c r="F29"/>
  <c r="P28"/>
  <c r="B28" s="1"/>
  <c r="E4" i="61"/>
  <c r="AE11" i="8"/>
  <c r="AE16"/>
  <c r="AE16" i="28" s="1"/>
  <c r="AE26" i="8"/>
  <c r="P35" i="67"/>
  <c r="B13" i="8"/>
  <c r="D34" i="28"/>
  <c r="D35"/>
  <c r="H24" i="65"/>
  <c r="AC13" i="8"/>
  <c r="AC35" i="67" s="1"/>
  <c r="E25"/>
  <c r="D7" l="1"/>
  <c r="D6" s="1"/>
  <c r="D5" s="1"/>
  <c r="E7" i="28"/>
  <c r="H13"/>
  <c r="H8" i="8"/>
  <c r="L13" i="28"/>
  <c r="L8" i="8"/>
  <c r="I13" i="28"/>
  <c r="I8" i="8"/>
  <c r="P9"/>
  <c r="G8"/>
  <c r="G13" i="28"/>
  <c r="K13"/>
  <c r="K8" i="8"/>
  <c r="AG11"/>
  <c r="G8" i="61"/>
  <c r="G9" s="1"/>
  <c r="G10" s="1"/>
  <c r="F28" i="66"/>
  <c r="F31" s="1"/>
  <c r="F43"/>
  <c r="G40" s="1"/>
  <c r="B22" i="28"/>
  <c r="P21"/>
  <c r="U8" i="8"/>
  <c r="U13" i="28"/>
  <c r="R8" i="8"/>
  <c r="R13" i="28"/>
  <c r="AB8" i="8"/>
  <c r="AB13" i="28"/>
  <c r="S13"/>
  <c r="S8" i="8"/>
  <c r="AA13" i="28"/>
  <c r="AA8" i="8"/>
  <c r="F31"/>
  <c r="F30"/>
  <c r="J13" i="28"/>
  <c r="J8" i="8"/>
  <c r="M8"/>
  <c r="M13" i="28"/>
  <c r="N13"/>
  <c r="N8" i="8"/>
  <c r="O13" i="28"/>
  <c r="O8" i="8"/>
  <c r="D8" i="61"/>
  <c r="H8"/>
  <c r="H9" s="1"/>
  <c r="H10" s="1"/>
  <c r="C12" i="64"/>
  <c r="F24" i="28"/>
  <c r="P24" s="1"/>
  <c r="F12" i="67"/>
  <c r="Y8" i="8"/>
  <c r="Y13" i="28"/>
  <c r="X8" i="8"/>
  <c r="X13" i="28"/>
  <c r="W13"/>
  <c r="W8" i="8"/>
  <c r="V8"/>
  <c r="V13" i="28"/>
  <c r="Z13"/>
  <c r="Z8" i="8"/>
  <c r="T8"/>
  <c r="T13" i="28"/>
  <c r="F8" i="61"/>
  <c r="E8"/>
  <c r="E9" s="1"/>
  <c r="E10" s="1"/>
  <c r="O10" i="28"/>
  <c r="O9" s="1"/>
  <c r="O5" i="8"/>
  <c r="H10" i="28"/>
  <c r="H9" s="1"/>
  <c r="H5" i="8"/>
  <c r="G5"/>
  <c r="G10" i="28"/>
  <c r="P6" i="8"/>
  <c r="N10" i="28"/>
  <c r="N9" s="1"/>
  <c r="N5" i="8"/>
  <c r="F20" i="66"/>
  <c r="G22"/>
  <c r="Q10" i="28"/>
  <c r="AC6" i="8"/>
  <c r="AC5" s="1"/>
  <c r="Q5"/>
  <c r="Z10" i="28"/>
  <c r="Z9" s="1"/>
  <c r="Z5" i="8"/>
  <c r="V10" i="28"/>
  <c r="V9" s="1"/>
  <c r="V5" i="8"/>
  <c r="T10" i="28"/>
  <c r="T9" s="1"/>
  <c r="T5" i="8"/>
  <c r="Y10" i="28"/>
  <c r="Y9" s="1"/>
  <c r="Y5" i="8"/>
  <c r="AA10" i="28"/>
  <c r="AA9" s="1"/>
  <c r="AA5" i="8"/>
  <c r="C38" i="33"/>
  <c r="AF11" i="8"/>
  <c r="F4" i="61"/>
  <c r="AF26" i="8"/>
  <c r="AF16"/>
  <c r="AF16" i="28" s="1"/>
  <c r="D36"/>
  <c r="E27"/>
  <c r="E33" s="1"/>
  <c r="E34" s="1"/>
  <c r="I24" i="65"/>
  <c r="Q13" i="28"/>
  <c r="Q8" i="8"/>
  <c r="AC9"/>
  <c r="AC8" s="1"/>
  <c r="C8" i="61" s="1"/>
  <c r="K10" i="28"/>
  <c r="K9" s="1"/>
  <c r="K5" i="8"/>
  <c r="I10" i="28"/>
  <c r="I9" s="1"/>
  <c r="I5" i="8"/>
  <c r="J10" i="28"/>
  <c r="J9" s="1"/>
  <c r="J5" i="8"/>
  <c r="M10" i="28"/>
  <c r="M9" s="1"/>
  <c r="M5" i="8"/>
  <c r="L5"/>
  <c r="L10" i="28"/>
  <c r="L9" s="1"/>
  <c r="X5" i="8"/>
  <c r="X10" i="28"/>
  <c r="X9" s="1"/>
  <c r="S10"/>
  <c r="S9" s="1"/>
  <c r="S5" i="8"/>
  <c r="U10" i="28"/>
  <c r="U9" s="1"/>
  <c r="U5" i="8"/>
  <c r="W10" i="28"/>
  <c r="W9" s="1"/>
  <c r="W5" i="8"/>
  <c r="AB5"/>
  <c r="AB10" i="28"/>
  <c r="AB9" s="1"/>
  <c r="R5" i="8"/>
  <c r="R10" i="28"/>
  <c r="R9" s="1"/>
  <c r="AD16" i="8"/>
  <c r="AD16" i="28" s="1"/>
  <c r="AD26" i="8"/>
  <c r="AD11"/>
  <c r="D4" i="61"/>
  <c r="E38" i="33"/>
  <c r="K15" i="65"/>
  <c r="K16" s="1"/>
  <c r="K24" s="1"/>
  <c r="C6" i="66" s="1"/>
  <c r="C18" l="1"/>
  <c r="C17" s="1"/>
  <c r="C15"/>
  <c r="D6"/>
  <c r="D9" i="61"/>
  <c r="D10" s="1"/>
  <c r="W16" i="8"/>
  <c r="W16" i="28" s="1"/>
  <c r="W26" i="8"/>
  <c r="W11"/>
  <c r="S11"/>
  <c r="S16"/>
  <c r="S16" i="28" s="1"/>
  <c r="S26" i="8"/>
  <c r="M26"/>
  <c r="M29" s="1"/>
  <c r="M11"/>
  <c r="M16"/>
  <c r="M16" i="28" s="1"/>
  <c r="J16" i="8"/>
  <c r="J16" i="28" s="1"/>
  <c r="J26" i="8"/>
  <c r="J29" s="1"/>
  <c r="J11"/>
  <c r="I26"/>
  <c r="I29" s="1"/>
  <c r="I16"/>
  <c r="I16" i="28" s="1"/>
  <c r="I11" i="8"/>
  <c r="K11"/>
  <c r="K16"/>
  <c r="K16" i="28" s="1"/>
  <c r="K26" i="8"/>
  <c r="K29" s="1"/>
  <c r="AC13" i="28"/>
  <c r="H22" i="66"/>
  <c r="G20"/>
  <c r="N26" i="8"/>
  <c r="N29" s="1"/>
  <c r="N16"/>
  <c r="N16" i="28" s="1"/>
  <c r="N11" i="8"/>
  <c r="B6"/>
  <c r="P5"/>
  <c r="G26"/>
  <c r="G16"/>
  <c r="G11"/>
  <c r="R26"/>
  <c r="R16"/>
  <c r="R16" i="28" s="1"/>
  <c r="R11" i="8"/>
  <c r="AB11"/>
  <c r="AB26"/>
  <c r="AB16"/>
  <c r="AB16" i="28" s="1"/>
  <c r="X26" i="8"/>
  <c r="X16"/>
  <c r="X16" i="28" s="1"/>
  <c r="X11" i="8"/>
  <c r="L26"/>
  <c r="L29" s="1"/>
  <c r="L16"/>
  <c r="L16" i="28" s="1"/>
  <c r="L11" i="8"/>
  <c r="F9" i="61"/>
  <c r="F10" s="1"/>
  <c r="AA16" i="8"/>
  <c r="AA16" i="28" s="1"/>
  <c r="AA26" i="8"/>
  <c r="AA11"/>
  <c r="Y16"/>
  <c r="Y16" i="28" s="1"/>
  <c r="Y26" i="8"/>
  <c r="Y11"/>
  <c r="T16"/>
  <c r="T16" i="28" s="1"/>
  <c r="T11" i="8"/>
  <c r="T26"/>
  <c r="V26"/>
  <c r="V16"/>
  <c r="V16" i="28" s="1"/>
  <c r="V11" i="8"/>
  <c r="Z26"/>
  <c r="Z16"/>
  <c r="Z16" i="28" s="1"/>
  <c r="Z11" i="8"/>
  <c r="Q11"/>
  <c r="Q16"/>
  <c r="Q26"/>
  <c r="AC10" i="28"/>
  <c r="AC9" s="1"/>
  <c r="Q9"/>
  <c r="G9"/>
  <c r="P10"/>
  <c r="H16" i="8"/>
  <c r="H16" i="28" s="1"/>
  <c r="H26" i="8"/>
  <c r="H29" s="1"/>
  <c r="H11"/>
  <c r="O26"/>
  <c r="O29" s="1"/>
  <c r="O16"/>
  <c r="O16" i="28" s="1"/>
  <c r="O11" i="8"/>
  <c r="G12" i="67"/>
  <c r="F14"/>
  <c r="F11" s="1"/>
  <c r="P13" i="28"/>
  <c r="G9" i="67"/>
  <c r="H9" s="1"/>
  <c r="I9" s="1"/>
  <c r="J9" s="1"/>
  <c r="K9" s="1"/>
  <c r="L9" s="1"/>
  <c r="M9" s="1"/>
  <c r="N9" s="1"/>
  <c r="O9" s="1"/>
  <c r="P9" s="1"/>
  <c r="B9" i="8"/>
  <c r="P8"/>
  <c r="E36" i="28"/>
  <c r="E35"/>
  <c r="U16" i="8"/>
  <c r="U16" i="28" s="1"/>
  <c r="U26" i="8"/>
  <c r="U11"/>
  <c r="AC11"/>
  <c r="C4" i="61"/>
  <c r="D9" i="64"/>
  <c r="D22" i="67"/>
  <c r="D21" s="1"/>
  <c r="D16" s="1"/>
  <c r="D28" s="1"/>
  <c r="D12" i="64"/>
  <c r="F17" i="28"/>
  <c r="B21"/>
  <c r="P36" i="67"/>
  <c r="G43" i="66"/>
  <c r="H40" s="1"/>
  <c r="G28"/>
  <c r="G31" s="1"/>
  <c r="H12" i="67" l="1"/>
  <c r="B38" i="33"/>
  <c r="AC16" i="8"/>
  <c r="Q16" i="28"/>
  <c r="AC16" s="1"/>
  <c r="P16" i="8"/>
  <c r="B16" s="1"/>
  <c r="G16" i="28"/>
  <c r="P16" s="1"/>
  <c r="B16" s="1"/>
  <c r="B56" i="33" s="1"/>
  <c r="B5" i="8"/>
  <c r="P11"/>
  <c r="B11" s="1"/>
  <c r="B4" i="61"/>
  <c r="I22" i="66"/>
  <c r="I20" s="1"/>
  <c r="H20"/>
  <c r="B57" i="33" s="1"/>
  <c r="E6" i="66"/>
  <c r="D18"/>
  <c r="D17" s="1"/>
  <c r="D15"/>
  <c r="G8" i="67"/>
  <c r="H8" s="1"/>
  <c r="I8" s="1"/>
  <c r="J8" s="1"/>
  <c r="K8" s="1"/>
  <c r="L8" s="1"/>
  <c r="M8" s="1"/>
  <c r="N8" s="1"/>
  <c r="O8" s="1"/>
  <c r="P8" s="1"/>
  <c r="C9" i="61"/>
  <c r="C10" s="1"/>
  <c r="H43" i="66"/>
  <c r="I40" s="1"/>
  <c r="H28"/>
  <c r="H31" s="1"/>
  <c r="B24" i="28"/>
  <c r="B3" i="33"/>
  <c r="F12" i="28"/>
  <c r="F18" s="1"/>
  <c r="E9" i="64"/>
  <c r="F14" i="8" s="1"/>
  <c r="F15" s="1"/>
  <c r="F17" s="1"/>
  <c r="E22" i="67"/>
  <c r="E21" s="1"/>
  <c r="E14" i="8"/>
  <c r="F7" i="28"/>
  <c r="E7" i="67"/>
  <c r="E6" s="1"/>
  <c r="E5" s="1"/>
  <c r="B8" i="61"/>
  <c r="B8" i="8"/>
  <c r="Q9" i="67"/>
  <c r="R9" s="1"/>
  <c r="S9" s="1"/>
  <c r="T9" s="1"/>
  <c r="U9" s="1"/>
  <c r="V9" s="1"/>
  <c r="W9" s="1"/>
  <c r="X9" s="1"/>
  <c r="Y9" s="1"/>
  <c r="Z9" s="1"/>
  <c r="AA9" s="1"/>
  <c r="AB9" s="1"/>
  <c r="AC9" s="1"/>
  <c r="P32"/>
  <c r="B13" i="28"/>
  <c r="B10"/>
  <c r="P9"/>
  <c r="AC26" i="8"/>
  <c r="G29"/>
  <c r="P26"/>
  <c r="B26" s="1"/>
  <c r="L12"/>
  <c r="J14" i="28"/>
  <c r="O12" i="8"/>
  <c r="G12"/>
  <c r="M14" i="28"/>
  <c r="O14"/>
  <c r="J12" i="8"/>
  <c r="K14" i="28"/>
  <c r="L14"/>
  <c r="I14"/>
  <c r="H12" i="8"/>
  <c r="I12"/>
  <c r="N12"/>
  <c r="G14" i="28"/>
  <c r="M12" i="8"/>
  <c r="H14" i="28"/>
  <c r="N14"/>
  <c r="K12" i="8"/>
  <c r="P14" i="28" l="1"/>
  <c r="B9"/>
  <c r="P29" i="8"/>
  <c r="G30"/>
  <c r="G31"/>
  <c r="AD9" i="67"/>
  <c r="AC32"/>
  <c r="E15" i="8"/>
  <c r="E19" i="67"/>
  <c r="Y14" i="28"/>
  <c r="Q12" i="8"/>
  <c r="Y12"/>
  <c r="T14" i="28"/>
  <c r="W12" i="8"/>
  <c r="AB12"/>
  <c r="U12"/>
  <c r="Q14" i="28"/>
  <c r="V14"/>
  <c r="W14"/>
  <c r="AB14"/>
  <c r="X14"/>
  <c r="R12" i="8"/>
  <c r="Z14" i="28"/>
  <c r="S14"/>
  <c r="Z12" i="8"/>
  <c r="AA14" i="28"/>
  <c r="R14"/>
  <c r="V12" i="8"/>
  <c r="AA12"/>
  <c r="T12"/>
  <c r="U14" i="28"/>
  <c r="S12" i="8"/>
  <c r="X12"/>
  <c r="E18" i="66"/>
  <c r="E17" s="1"/>
  <c r="F6"/>
  <c r="E15"/>
  <c r="P12" i="8"/>
  <c r="F28" i="28"/>
  <c r="I28" i="66"/>
  <c r="I31" s="1"/>
  <c r="I43"/>
  <c r="Q8" i="67"/>
  <c r="R8" s="1"/>
  <c r="S8" s="1"/>
  <c r="T8" s="1"/>
  <c r="U8" s="1"/>
  <c r="V8" s="1"/>
  <c r="W8" s="1"/>
  <c r="X8" s="1"/>
  <c r="Y8" s="1"/>
  <c r="Z8" s="1"/>
  <c r="AA8" s="1"/>
  <c r="AB8" s="1"/>
  <c r="AC8" s="1"/>
  <c r="B9" i="61"/>
  <c r="B10" s="1"/>
  <c r="I12" i="67"/>
  <c r="J12" l="1"/>
  <c r="P28" i="28"/>
  <c r="F25" i="67"/>
  <c r="AC14" i="28"/>
  <c r="AB27" i="8"/>
  <c r="AB29" s="1"/>
  <c r="AD8" i="67"/>
  <c r="AD12" i="8"/>
  <c r="AD14" i="28"/>
  <c r="S27" i="8"/>
  <c r="S29" s="1"/>
  <c r="T27"/>
  <c r="T29" s="1"/>
  <c r="V27"/>
  <c r="V29" s="1"/>
  <c r="R27"/>
  <c r="R29" s="1"/>
  <c r="U27"/>
  <c r="U29" s="1"/>
  <c r="W27"/>
  <c r="W29" s="1"/>
  <c r="Y27"/>
  <c r="Y29" s="1"/>
  <c r="F19" i="67"/>
  <c r="E17"/>
  <c r="G17" i="28"/>
  <c r="F29"/>
  <c r="F18" i="66"/>
  <c r="F17" s="1"/>
  <c r="G6"/>
  <c r="F15"/>
  <c r="X27" i="8"/>
  <c r="X29" s="1"/>
  <c r="AA27"/>
  <c r="AA29" s="1"/>
  <c r="Z27"/>
  <c r="Z29" s="1"/>
  <c r="AC12"/>
  <c r="Q27"/>
  <c r="E17"/>
  <c r="AD32" i="67"/>
  <c r="AE9"/>
  <c r="H31" i="8"/>
  <c r="H17" i="28" s="1"/>
  <c r="H12" s="1"/>
  <c r="H18" s="1"/>
  <c r="H34" s="1"/>
  <c r="G14" i="67"/>
  <c r="G11" s="1"/>
  <c r="H30" i="8"/>
  <c r="AF9" i="67" l="1"/>
  <c r="AE32"/>
  <c r="G18" i="66"/>
  <c r="G17" s="1"/>
  <c r="H6"/>
  <c r="G15"/>
  <c r="E7" i="64"/>
  <c r="P29" i="28"/>
  <c r="B29" s="1"/>
  <c r="B9" i="33" s="1"/>
  <c r="G12" i="28"/>
  <c r="G18" s="1"/>
  <c r="G34" s="1"/>
  <c r="H14" i="67"/>
  <c r="H11" s="1"/>
  <c r="I30" i="8"/>
  <c r="I31"/>
  <c r="I17" i="28" s="1"/>
  <c r="E18" i="8"/>
  <c r="AC27"/>
  <c r="Q29"/>
  <c r="AC29" s="1"/>
  <c r="AE14" i="28"/>
  <c r="AE12" i="8"/>
  <c r="G25" i="67"/>
  <c r="F27" i="28"/>
  <c r="F33" s="1"/>
  <c r="F17" i="67"/>
  <c r="AD27" i="8"/>
  <c r="AD29" s="1"/>
  <c r="AE8" i="67"/>
  <c r="P27" i="28"/>
  <c r="B28"/>
  <c r="K12" i="67"/>
  <c r="F34" i="28" l="1"/>
  <c r="F36" s="1"/>
  <c r="F35"/>
  <c r="H25" i="67"/>
  <c r="E26"/>
  <c r="E24" s="1"/>
  <c r="E16" s="1"/>
  <c r="E28" s="1"/>
  <c r="F18" i="8"/>
  <c r="J31"/>
  <c r="J30"/>
  <c r="I14" i="67"/>
  <c r="I11" s="1"/>
  <c r="L12"/>
  <c r="AI39" i="28"/>
  <c r="AF8" i="67"/>
  <c r="AE27" i="8"/>
  <c r="AE29" s="1"/>
  <c r="O7" i="64"/>
  <c r="B7" s="1"/>
  <c r="E12"/>
  <c r="I6" i="66"/>
  <c r="H15"/>
  <c r="H18"/>
  <c r="H17" s="1"/>
  <c r="B27" i="28"/>
  <c r="B8" i="33"/>
  <c r="AF14" i="28"/>
  <c r="AF12" i="8"/>
  <c r="AF32" i="67"/>
  <c r="AG9"/>
  <c r="B4" i="33" l="1"/>
  <c r="B5" s="1"/>
  <c r="AG14" i="28"/>
  <c r="AG12" i="8"/>
  <c r="F12" i="64"/>
  <c r="F9"/>
  <c r="F22" i="67"/>
  <c r="F21" s="1"/>
  <c r="AG32"/>
  <c r="AH9"/>
  <c r="AH32" s="1"/>
  <c r="AF27" i="8"/>
  <c r="B10" i="33"/>
  <c r="D9" s="1"/>
  <c r="D8"/>
  <c r="D10" s="1"/>
  <c r="I18" i="66"/>
  <c r="I17" s="1"/>
  <c r="I15"/>
  <c r="AG8" i="67"/>
  <c r="AL45" i="28"/>
  <c r="AM45"/>
  <c r="AO45"/>
  <c r="AN45"/>
  <c r="AK45"/>
  <c r="AJ45"/>
  <c r="AI45"/>
  <c r="M12" i="67"/>
  <c r="K31" i="8"/>
  <c r="K17" i="28" s="1"/>
  <c r="J14" i="67"/>
  <c r="J11" s="1"/>
  <c r="K30" i="8"/>
  <c r="F26" i="67"/>
  <c r="F24" s="1"/>
  <c r="G7" i="28"/>
  <c r="F7" i="67"/>
  <c r="F6" s="1"/>
  <c r="F5" s="1"/>
  <c r="J17" i="28"/>
  <c r="I25" i="67"/>
  <c r="N12" l="1"/>
  <c r="AH14" i="28"/>
  <c r="AH12" i="8"/>
  <c r="G35" i="28"/>
  <c r="G36"/>
  <c r="AH8" i="67"/>
  <c r="AF29" i="8"/>
  <c r="G22" i="67"/>
  <c r="G21" s="1"/>
  <c r="G9" i="64"/>
  <c r="H14" i="8" s="1"/>
  <c r="H15" s="1"/>
  <c r="H17" s="1"/>
  <c r="F16" i="67"/>
  <c r="F28" s="1"/>
  <c r="J25"/>
  <c r="L30" i="8"/>
  <c r="L31"/>
  <c r="L17" i="28" s="1"/>
  <c r="K14" i="67"/>
  <c r="K11" s="1"/>
  <c r="G14" i="8"/>
  <c r="G8" i="64"/>
  <c r="O8" s="1"/>
  <c r="B8" s="1"/>
  <c r="AG27" i="8"/>
  <c r="AG29" s="1"/>
  <c r="M30" l="1"/>
  <c r="M31"/>
  <c r="M17" i="28" s="1"/>
  <c r="L14" i="67"/>
  <c r="L11" s="1"/>
  <c r="K25"/>
  <c r="G15" i="8"/>
  <c r="G19" i="67"/>
  <c r="G7"/>
  <c r="G6" s="1"/>
  <c r="G5" s="1"/>
  <c r="H7" i="28"/>
  <c r="B14"/>
  <c r="G12" i="64"/>
  <c r="AH27" i="8"/>
  <c r="AH29" s="1"/>
  <c r="B29" s="1"/>
  <c r="B12"/>
  <c r="O12" i="67"/>
  <c r="P12" l="1"/>
  <c r="BL10" i="64"/>
  <c r="AK10"/>
  <c r="AD10"/>
  <c r="BH10"/>
  <c r="AP10"/>
  <c r="BF10"/>
  <c r="AE10"/>
  <c r="AT10"/>
  <c r="Z10"/>
  <c r="AA32" i="28" s="1"/>
  <c r="AA30" s="1"/>
  <c r="AA33" s="1"/>
  <c r="V10" i="64"/>
  <c r="W32" i="28" s="1"/>
  <c r="W30" s="1"/>
  <c r="W33" s="1"/>
  <c r="R10" i="64"/>
  <c r="S32" i="28" s="1"/>
  <c r="S30" s="1"/>
  <c r="S33" s="1"/>
  <c r="L10" i="64"/>
  <c r="M32" i="28" s="1"/>
  <c r="M30" s="1"/>
  <c r="M33" s="1"/>
  <c r="BQ10" i="64"/>
  <c r="AX10"/>
  <c r="AA10"/>
  <c r="AB32" i="28" s="1"/>
  <c r="AB30" s="1"/>
  <c r="AB33" s="1"/>
  <c r="W10" i="64"/>
  <c r="X32" i="28" s="1"/>
  <c r="X30" s="1"/>
  <c r="X33" s="1"/>
  <c r="S10" i="64"/>
  <c r="T32" i="28" s="1"/>
  <c r="T30" s="1"/>
  <c r="T33" s="1"/>
  <c r="I10" i="64"/>
  <c r="J32" i="28" s="1"/>
  <c r="J30" s="1"/>
  <c r="J33" s="1"/>
  <c r="M10" i="64"/>
  <c r="N32" i="28" s="1"/>
  <c r="N30" s="1"/>
  <c r="N33" s="1"/>
  <c r="H9" i="64"/>
  <c r="AM10"/>
  <c r="AI10"/>
  <c r="AJ10"/>
  <c r="BD10"/>
  <c r="AY10"/>
  <c r="AN10"/>
  <c r="J10"/>
  <c r="K32" i="28" s="1"/>
  <c r="K30" s="1"/>
  <c r="K33" s="1"/>
  <c r="N10" i="64"/>
  <c r="O32" i="28" s="1"/>
  <c r="O30" s="1"/>
  <c r="O33" s="1"/>
  <c r="AQ10" i="64"/>
  <c r="H22" i="67"/>
  <c r="H21" s="1"/>
  <c r="BK10" i="64"/>
  <c r="BP10"/>
  <c r="CB10" s="1"/>
  <c r="AG32" i="28" s="1"/>
  <c r="AG30" s="1"/>
  <c r="AG33" s="1"/>
  <c r="BN10" i="64"/>
  <c r="AS10"/>
  <c r="BE10"/>
  <c r="AZ10"/>
  <c r="Y10"/>
  <c r="Z32" i="28" s="1"/>
  <c r="Z30" s="1"/>
  <c r="Z33" s="1"/>
  <c r="U10" i="64"/>
  <c r="V32" i="28" s="1"/>
  <c r="V30" s="1"/>
  <c r="V33" s="1"/>
  <c r="Q10" i="64"/>
  <c r="R32" i="28" s="1"/>
  <c r="R30" s="1"/>
  <c r="R33" s="1"/>
  <c r="K10" i="64"/>
  <c r="L32" i="28" s="1"/>
  <c r="L30" s="1"/>
  <c r="L33" s="1"/>
  <c r="H10" i="64"/>
  <c r="BA10"/>
  <c r="BM10"/>
  <c r="AL10"/>
  <c r="BI10"/>
  <c r="AH10"/>
  <c r="BJ10"/>
  <c r="AF10"/>
  <c r="BC10"/>
  <c r="BO10" s="1"/>
  <c r="AF32" i="28" s="1"/>
  <c r="AF30" s="1"/>
  <c r="AF33" s="1"/>
  <c r="BG10" i="64"/>
  <c r="AW10"/>
  <c r="AC10"/>
  <c r="AG10"/>
  <c r="AU10"/>
  <c r="T10"/>
  <c r="U32" i="28" s="1"/>
  <c r="U30" s="1"/>
  <c r="U33" s="1"/>
  <c r="P10" i="64"/>
  <c r="AR10"/>
  <c r="X10"/>
  <c r="Y32" i="28" s="1"/>
  <c r="Y30" s="1"/>
  <c r="Y33" s="1"/>
  <c r="AV10" i="64"/>
  <c r="H35" i="28"/>
  <c r="H36"/>
  <c r="G17" i="8"/>
  <c r="M14" i="67"/>
  <c r="M11" s="1"/>
  <c r="N31" i="8"/>
  <c r="N17" i="28" s="1"/>
  <c r="N30" i="8"/>
  <c r="B27"/>
  <c r="B33" s="1"/>
  <c r="G17" i="67"/>
  <c r="H19"/>
  <c r="L25"/>
  <c r="O10" i="64" l="1"/>
  <c r="I32" i="28"/>
  <c r="Q12" i="67"/>
  <c r="BB10" i="64"/>
  <c r="AE32" i="28" s="1"/>
  <c r="AE30" s="1"/>
  <c r="AE33" s="1"/>
  <c r="H17" i="67"/>
  <c r="M25"/>
  <c r="N14"/>
  <c r="N11" s="1"/>
  <c r="O30" i="8"/>
  <c r="O31"/>
  <c r="G18"/>
  <c r="H7" i="67"/>
  <c r="H6" s="1"/>
  <c r="H5" s="1"/>
  <c r="I7" i="28"/>
  <c r="AB10" i="64"/>
  <c r="Q32" i="28"/>
  <c r="I14" i="8"/>
  <c r="H11" i="64"/>
  <c r="H12"/>
  <c r="AO10"/>
  <c r="AD32" i="28" s="1"/>
  <c r="AD30" s="1"/>
  <c r="AD33" s="1"/>
  <c r="I15" l="1"/>
  <c r="P30" i="8"/>
  <c r="O14" i="67"/>
  <c r="B10" i="64"/>
  <c r="A16" s="1"/>
  <c r="Q30" i="28"/>
  <c r="Q33" s="1"/>
  <c r="AC32"/>
  <c r="AC30" s="1"/>
  <c r="AC33" s="1"/>
  <c r="I9" i="64"/>
  <c r="I22" i="67"/>
  <c r="I21" s="1"/>
  <c r="I12" i="64"/>
  <c r="I15" i="8"/>
  <c r="G26" i="67"/>
  <c r="G24" s="1"/>
  <c r="G16" s="1"/>
  <c r="G28" s="1"/>
  <c r="H18" i="8"/>
  <c r="O17" i="28"/>
  <c r="P17" s="1"/>
  <c r="P31" i="8"/>
  <c r="N25" i="67"/>
  <c r="R12"/>
  <c r="P32" i="28"/>
  <c r="I30"/>
  <c r="I33" s="1"/>
  <c r="H26" i="67" l="1"/>
  <c r="H24" s="1"/>
  <c r="H16" s="1"/>
  <c r="H28" s="1"/>
  <c r="P14"/>
  <c r="O11"/>
  <c r="I12" i="28"/>
  <c r="I18" s="1"/>
  <c r="I19" i="67"/>
  <c r="P30" i="28"/>
  <c r="P33" s="1"/>
  <c r="B32"/>
  <c r="B30" s="1"/>
  <c r="B33" s="1"/>
  <c r="S12" i="67"/>
  <c r="O25"/>
  <c r="I17" i="8"/>
  <c r="J9" i="64"/>
  <c r="J22" i="67"/>
  <c r="J21" s="1"/>
  <c r="J12" i="64"/>
  <c r="J14" i="8"/>
  <c r="I11" i="64"/>
  <c r="Q31" i="8"/>
  <c r="Q30"/>
  <c r="Q14" i="67" l="1"/>
  <c r="Q11" s="1"/>
  <c r="R30" i="8"/>
  <c r="R31"/>
  <c r="R17" i="28" s="1"/>
  <c r="K22" i="67"/>
  <c r="K21" s="1"/>
  <c r="K12" i="64"/>
  <c r="K9"/>
  <c r="K14" i="8"/>
  <c r="K15" s="1"/>
  <c r="K17" s="1"/>
  <c r="J11" i="64"/>
  <c r="K15" i="28" s="1"/>
  <c r="K12" s="1"/>
  <c r="K18" s="1"/>
  <c r="K34" s="1"/>
  <c r="Q17"/>
  <c r="J15" i="8"/>
  <c r="I17" i="67"/>
  <c r="P31"/>
  <c r="P11"/>
  <c r="J15" i="28"/>
  <c r="P25" i="67"/>
  <c r="T12"/>
  <c r="I34" i="28"/>
  <c r="I35"/>
  <c r="I18" i="8"/>
  <c r="J7" i="28" l="1"/>
  <c r="I7" i="67"/>
  <c r="I6" s="1"/>
  <c r="I5" s="1"/>
  <c r="I28" s="1"/>
  <c r="I26"/>
  <c r="I24" s="1"/>
  <c r="I16" s="1"/>
  <c r="U12"/>
  <c r="Q25"/>
  <c r="J12" i="28"/>
  <c r="J18" s="1"/>
  <c r="J34" s="1"/>
  <c r="L9" i="64"/>
  <c r="L12"/>
  <c r="L22" i="67"/>
  <c r="L21" s="1"/>
  <c r="I36" i="28"/>
  <c r="J17" i="8"/>
  <c r="L14"/>
  <c r="K11" i="64"/>
  <c r="S30" i="8"/>
  <c r="S31"/>
  <c r="R14" i="67"/>
  <c r="R11" s="1"/>
  <c r="J19"/>
  <c r="J17" l="1"/>
  <c r="K19"/>
  <c r="S14"/>
  <c r="S11" s="1"/>
  <c r="T31" i="8"/>
  <c r="T17" i="28" s="1"/>
  <c r="T30" i="8"/>
  <c r="L15"/>
  <c r="L11" i="64"/>
  <c r="M15" i="28" s="1"/>
  <c r="M12" s="1"/>
  <c r="M18" s="1"/>
  <c r="M34" s="1"/>
  <c r="M14" i="8"/>
  <c r="M15" s="1"/>
  <c r="M17" s="1"/>
  <c r="R25" i="67"/>
  <c r="V12"/>
  <c r="J35" i="28"/>
  <c r="J36" s="1"/>
  <c r="S17"/>
  <c r="L15"/>
  <c r="M12" i="64"/>
  <c r="M9"/>
  <c r="M22" i="67"/>
  <c r="M21" s="1"/>
  <c r="J18" i="8"/>
  <c r="J26" i="67" l="1"/>
  <c r="J24" s="1"/>
  <c r="J16" s="1"/>
  <c r="K18" i="8"/>
  <c r="N12" i="64"/>
  <c r="N9"/>
  <c r="N22" i="67"/>
  <c r="N21" s="1"/>
  <c r="L12" i="28"/>
  <c r="L18" s="1"/>
  <c r="L34" s="1"/>
  <c r="U30" i="8"/>
  <c r="U31"/>
  <c r="T14" i="67"/>
  <c r="T11" s="1"/>
  <c r="N14" i="8"/>
  <c r="N15" s="1"/>
  <c r="N17" s="1"/>
  <c r="M11" i="64"/>
  <c r="J7" i="67"/>
  <c r="J6" s="1"/>
  <c r="J5" s="1"/>
  <c r="J28" s="1"/>
  <c r="K7" i="28"/>
  <c r="W12" i="67"/>
  <c r="S25"/>
  <c r="L17" i="8"/>
  <c r="K17" i="67"/>
  <c r="L19"/>
  <c r="T25" l="1"/>
  <c r="L17"/>
  <c r="M19"/>
  <c r="X12"/>
  <c r="K35" i="28"/>
  <c r="K36" s="1"/>
  <c r="N15"/>
  <c r="U17"/>
  <c r="O12" i="64"/>
  <c r="O22" i="67"/>
  <c r="O21" s="1"/>
  <c r="V30" i="8"/>
  <c r="U14" i="67"/>
  <c r="U11" s="1"/>
  <c r="V31" i="8"/>
  <c r="V17" i="28" s="1"/>
  <c r="N11" i="64"/>
  <c r="O15" i="28" s="1"/>
  <c r="O12" s="1"/>
  <c r="O18" s="1"/>
  <c r="O34" s="1"/>
  <c r="O14" i="8"/>
  <c r="O9" i="64"/>
  <c r="K26" i="67"/>
  <c r="K24" s="1"/>
  <c r="K16" s="1"/>
  <c r="L18" i="8"/>
  <c r="M18" l="1"/>
  <c r="L26" i="67"/>
  <c r="L24" s="1"/>
  <c r="L16" s="1"/>
  <c r="P12" i="64"/>
  <c r="P22" i="67"/>
  <c r="P21" s="1"/>
  <c r="P9" i="64"/>
  <c r="N12" i="28"/>
  <c r="N18" s="1"/>
  <c r="N34" s="1"/>
  <c r="P15"/>
  <c r="Y12" i="67"/>
  <c r="O15" i="8"/>
  <c r="P14"/>
  <c r="W31"/>
  <c r="W17" i="28" s="1"/>
  <c r="V14" i="67"/>
  <c r="V11" s="1"/>
  <c r="W30" i="8"/>
  <c r="K7" i="67"/>
  <c r="K6" s="1"/>
  <c r="K5" s="1"/>
  <c r="K28" s="1"/>
  <c r="L7" i="28"/>
  <c r="M17" i="67"/>
  <c r="N19"/>
  <c r="U25"/>
  <c r="O11" i="64"/>
  <c r="O19" i="67" l="1"/>
  <c r="N17"/>
  <c r="B7" i="61"/>
  <c r="V25" i="67"/>
  <c r="L35" i="28"/>
  <c r="L36"/>
  <c r="X31" i="8"/>
  <c r="W14" i="67"/>
  <c r="W11" s="1"/>
  <c r="X30" i="8"/>
  <c r="O17"/>
  <c r="P17" s="1"/>
  <c r="P15"/>
  <c r="Z12" i="67"/>
  <c r="P12" i="28"/>
  <c r="P11" i="64"/>
  <c r="Q14" i="8"/>
  <c r="Q22" i="67"/>
  <c r="Q21" s="1"/>
  <c r="Q12" i="64"/>
  <c r="Q9"/>
  <c r="M26" i="67"/>
  <c r="M24" s="1"/>
  <c r="M16" s="1"/>
  <c r="N18" i="8"/>
  <c r="R22" i="67" l="1"/>
  <c r="R21" s="1"/>
  <c r="R12" i="64"/>
  <c r="R9"/>
  <c r="Q15" i="28"/>
  <c r="N26" i="67"/>
  <c r="N24" s="1"/>
  <c r="N16" s="1"/>
  <c r="O18" i="8"/>
  <c r="R14"/>
  <c r="R15" s="1"/>
  <c r="R17" s="1"/>
  <c r="Q11" i="64"/>
  <c r="R15" i="28" s="1"/>
  <c r="R12" s="1"/>
  <c r="R18" s="1"/>
  <c r="R34" s="1"/>
  <c r="P18"/>
  <c r="P34" s="1"/>
  <c r="X14" i="67"/>
  <c r="X11" s="1"/>
  <c r="Y30" i="8"/>
  <c r="Y31"/>
  <c r="Y17" i="28" s="1"/>
  <c r="X17"/>
  <c r="L7" i="67"/>
  <c r="L6" s="1"/>
  <c r="L5" s="1"/>
  <c r="L28" s="1"/>
  <c r="M7" i="28"/>
  <c r="B6" i="61"/>
  <c r="B5" s="1"/>
  <c r="B11"/>
  <c r="B12" s="1"/>
  <c r="B13" s="1"/>
  <c r="O17" i="67"/>
  <c r="P19"/>
  <c r="Q15" i="8"/>
  <c r="AA12" i="67"/>
  <c r="W25"/>
  <c r="Q17" i="8" l="1"/>
  <c r="X25" i="67"/>
  <c r="AB12"/>
  <c r="P17"/>
  <c r="P33" s="1"/>
  <c r="P34" s="1"/>
  <c r="Q19"/>
  <c r="Y14"/>
  <c r="Y11" s="1"/>
  <c r="Z31" i="8"/>
  <c r="Z17" i="28" s="1"/>
  <c r="Z30" i="8"/>
  <c r="AI37" i="28"/>
  <c r="AI38" s="1"/>
  <c r="P39" i="67"/>
  <c r="P18" i="8"/>
  <c r="O26" i="67"/>
  <c r="O24" s="1"/>
  <c r="O16" s="1"/>
  <c r="R11" i="64"/>
  <c r="S15" i="28" s="1"/>
  <c r="S12" s="1"/>
  <c r="S18" s="1"/>
  <c r="S34" s="1"/>
  <c r="S14" i="8"/>
  <c r="M35" i="28"/>
  <c r="M36"/>
  <c r="Q12"/>
  <c r="Q18" s="1"/>
  <c r="Q34" s="1"/>
  <c r="S9" i="64"/>
  <c r="S22" i="67"/>
  <c r="S21" s="1"/>
  <c r="S12" i="64"/>
  <c r="T22" i="67" l="1"/>
  <c r="T21" s="1"/>
  <c r="T9" i="64"/>
  <c r="T12"/>
  <c r="S11"/>
  <c r="T14" i="8"/>
  <c r="T15" s="1"/>
  <c r="T17" s="1"/>
  <c r="M7" i="67"/>
  <c r="M6" s="1"/>
  <c r="M5" s="1"/>
  <c r="M28" s="1"/>
  <c r="N7" i="28"/>
  <c r="P26" i="67"/>
  <c r="Q18" i="8"/>
  <c r="AA30"/>
  <c r="Z14" i="67"/>
  <c r="Z11" s="1"/>
  <c r="AA31" i="8"/>
  <c r="AA17" i="28" s="1"/>
  <c r="AC12" i="67"/>
  <c r="Y25"/>
  <c r="S15" i="8"/>
  <c r="AI44" i="28"/>
  <c r="AI40"/>
  <c r="Q17" i="67"/>
  <c r="R19"/>
  <c r="AI46" i="28" l="1"/>
  <c r="AI47"/>
  <c r="S17" i="8"/>
  <c r="AD12" i="67"/>
  <c r="Q26"/>
  <c r="Q24" s="1"/>
  <c r="Q16" s="1"/>
  <c r="R18" i="8"/>
  <c r="U22" i="67"/>
  <c r="U21" s="1"/>
  <c r="U9" i="64"/>
  <c r="U12"/>
  <c r="R17" i="67"/>
  <c r="S19"/>
  <c r="AI41" i="28"/>
  <c r="AI43" s="1"/>
  <c r="AI42"/>
  <c r="AI48"/>
  <c r="AG48"/>
  <c r="Z25" i="67"/>
  <c r="AB31" i="8"/>
  <c r="AA14" i="67"/>
  <c r="AA11" s="1"/>
  <c r="AB30" i="8"/>
  <c r="P30" i="67"/>
  <c r="P37" s="1"/>
  <c r="P40" s="1"/>
  <c r="P24"/>
  <c r="P16" s="1"/>
  <c r="N35" i="28"/>
  <c r="T15"/>
  <c r="U14" i="8"/>
  <c r="T11" i="64"/>
  <c r="U15" i="28" s="1"/>
  <c r="U12" s="1"/>
  <c r="U18" s="1"/>
  <c r="U34" s="1"/>
  <c r="U15" i="8" l="1"/>
  <c r="T12" i="28"/>
  <c r="T18" s="1"/>
  <c r="T34" s="1"/>
  <c r="N7" i="67"/>
  <c r="N6" s="1"/>
  <c r="N5" s="1"/>
  <c r="N28" s="1"/>
  <c r="O7" i="28"/>
  <c r="AA25" i="67"/>
  <c r="AB14"/>
  <c r="AC30" i="8"/>
  <c r="AB17" i="28"/>
  <c r="AC17" s="1"/>
  <c r="AC31" i="8"/>
  <c r="S17" i="67"/>
  <c r="T19"/>
  <c r="V22"/>
  <c r="V21" s="1"/>
  <c r="V9" i="64"/>
  <c r="V12"/>
  <c r="AE12" i="67"/>
  <c r="N36" i="28"/>
  <c r="V14" i="8"/>
  <c r="V15" s="1"/>
  <c r="V17" s="1"/>
  <c r="U11" i="64"/>
  <c r="V15" i="28" s="1"/>
  <c r="V12" s="1"/>
  <c r="V18" s="1"/>
  <c r="V34" s="1"/>
  <c r="S18" i="8"/>
  <c r="R26" i="67"/>
  <c r="R24" s="1"/>
  <c r="R16" s="1"/>
  <c r="T18" i="8" l="1"/>
  <c r="S26" i="67"/>
  <c r="S24" s="1"/>
  <c r="S16" s="1"/>
  <c r="V11" i="64"/>
  <c r="W15" i="28" s="1"/>
  <c r="W12" s="1"/>
  <c r="W18" s="1"/>
  <c r="W34" s="1"/>
  <c r="W14" i="8"/>
  <c r="W15" s="1"/>
  <c r="W17" s="1"/>
  <c r="U19" i="67"/>
  <c r="T17"/>
  <c r="AD31" i="8"/>
  <c r="AD17" i="28" s="1"/>
  <c r="AD30" i="8"/>
  <c r="U17"/>
  <c r="AF12" i="67"/>
  <c r="W22"/>
  <c r="W21" s="1"/>
  <c r="W9" i="64"/>
  <c r="W12"/>
  <c r="AC14" i="67"/>
  <c r="AB11"/>
  <c r="AB25"/>
  <c r="O35" i="28"/>
  <c r="O36"/>
  <c r="O7" i="67" l="1"/>
  <c r="O6" s="1"/>
  <c r="O5" s="1"/>
  <c r="O28" s="1"/>
  <c r="P35" i="28"/>
  <c r="AC31" i="67"/>
  <c r="AC11"/>
  <c r="X14" i="8"/>
  <c r="W11" i="64"/>
  <c r="X15" i="28" s="1"/>
  <c r="V19" i="67"/>
  <c r="U17"/>
  <c r="T26"/>
  <c r="T24" s="1"/>
  <c r="T16" s="1"/>
  <c r="U18" i="8"/>
  <c r="AC25" i="67"/>
  <c r="X22"/>
  <c r="X21" s="1"/>
  <c r="X12" i="64"/>
  <c r="X9"/>
  <c r="AG12" i="67"/>
  <c r="AD14"/>
  <c r="AE31" i="8"/>
  <c r="AE30"/>
  <c r="AE17" i="28" l="1"/>
  <c r="AF31" i="8"/>
  <c r="AF17" i="28" s="1"/>
  <c r="AF30" i="8"/>
  <c r="AE14" i="67"/>
  <c r="AD31"/>
  <c r="AD11"/>
  <c r="Y22"/>
  <c r="Y21" s="1"/>
  <c r="Y9" i="64"/>
  <c r="Y12"/>
  <c r="V17" i="67"/>
  <c r="W19"/>
  <c r="X12" i="28"/>
  <c r="X18" s="1"/>
  <c r="X34" s="1"/>
  <c r="AH12" i="67"/>
  <c r="Y14" i="8"/>
  <c r="Y15" s="1"/>
  <c r="Y17" s="1"/>
  <c r="X11" i="64"/>
  <c r="Y15" i="28" s="1"/>
  <c r="Y12" s="1"/>
  <c r="Y18" s="1"/>
  <c r="Y34" s="1"/>
  <c r="AD25" i="67"/>
  <c r="V18" i="8"/>
  <c r="U26" i="67"/>
  <c r="U24" s="1"/>
  <c r="U16" s="1"/>
  <c r="X15" i="8"/>
  <c r="P7" i="67"/>
  <c r="P6" s="1"/>
  <c r="P5" s="1"/>
  <c r="P28" s="1"/>
  <c r="Q35" i="28"/>
  <c r="Q7"/>
  <c r="P36"/>
  <c r="R35" l="1"/>
  <c r="Q7" i="67"/>
  <c r="Q6" s="1"/>
  <c r="Q5" s="1"/>
  <c r="Q28" s="1"/>
  <c r="R7" i="28"/>
  <c r="R36" s="1"/>
  <c r="Z14" i="8"/>
  <c r="Z15" s="1"/>
  <c r="Z17" s="1"/>
  <c r="Y11" i="64"/>
  <c r="Z15" i="28" s="1"/>
  <c r="AE31" i="67"/>
  <c r="AE11"/>
  <c r="AC7" i="28"/>
  <c r="Q36"/>
  <c r="X17" i="8"/>
  <c r="V26" i="67"/>
  <c r="V24" s="1"/>
  <c r="V16" s="1"/>
  <c r="W18" i="8"/>
  <c r="AE25" i="67"/>
  <c r="W17"/>
  <c r="X19"/>
  <c r="Z12" i="64"/>
  <c r="Z22" i="67"/>
  <c r="Z21" s="1"/>
  <c r="Z9" i="64"/>
  <c r="AG30" i="8"/>
  <c r="AF14" i="67"/>
  <c r="AG31" i="8"/>
  <c r="AG17" i="28" s="1"/>
  <c r="AF31" i="67" l="1"/>
  <c r="AF11"/>
  <c r="Z11" i="64"/>
  <c r="AA15" i="28" s="1"/>
  <c r="AA12" s="1"/>
  <c r="AA18" s="1"/>
  <c r="AA34" s="1"/>
  <c r="AA14" i="8"/>
  <c r="AA15" s="1"/>
  <c r="AF25" i="67"/>
  <c r="AH30" i="8"/>
  <c r="AG14" i="67"/>
  <c r="AH31" i="8"/>
  <c r="Y19" i="67"/>
  <c r="X17"/>
  <c r="W26"/>
  <c r="W24" s="1"/>
  <c r="W16" s="1"/>
  <c r="X18" i="8"/>
  <c r="Z12" i="28"/>
  <c r="Z18" s="1"/>
  <c r="Z34" s="1"/>
  <c r="S7"/>
  <c r="R7" i="67"/>
  <c r="R6" s="1"/>
  <c r="R5" s="1"/>
  <c r="R28" s="1"/>
  <c r="S35" i="28"/>
  <c r="AA22" i="67"/>
  <c r="AA21" s="1"/>
  <c r="AA12" i="64"/>
  <c r="AA9"/>
  <c r="AB22" i="67" l="1"/>
  <c r="AB21" s="1"/>
  <c r="AB12" i="64"/>
  <c r="T7" i="28"/>
  <c r="S7" i="67"/>
  <c r="S6" s="1"/>
  <c r="S5" s="1"/>
  <c r="S28" s="1"/>
  <c r="T35" i="28"/>
  <c r="Z19" i="67"/>
  <c r="Y17"/>
  <c r="AG31"/>
  <c r="AG11"/>
  <c r="AA17" i="8"/>
  <c r="S36" i="28"/>
  <c r="AB14" i="8"/>
  <c r="AA11" i="64"/>
  <c r="AB9"/>
  <c r="Y18" i="8"/>
  <c r="X26" i="67"/>
  <c r="X24" s="1"/>
  <c r="X16" s="1"/>
  <c r="AH17" i="28"/>
  <c r="B17" s="1"/>
  <c r="B55" i="33" s="1"/>
  <c r="B59" s="1"/>
  <c r="B31" i="8"/>
  <c r="B30"/>
  <c r="AH14" i="67"/>
  <c r="AG25"/>
  <c r="Z18" i="8" l="1"/>
  <c r="Y26" i="67"/>
  <c r="Y24" s="1"/>
  <c r="Y16" s="1"/>
  <c r="AB15" i="28"/>
  <c r="AB11" i="64"/>
  <c r="T7" i="67"/>
  <c r="T6" s="1"/>
  <c r="T5" s="1"/>
  <c r="T28" s="1"/>
  <c r="U35" i="28"/>
  <c r="U7"/>
  <c r="T36"/>
  <c r="AH25" i="67"/>
  <c r="AH31"/>
  <c r="AH11"/>
  <c r="AB15" i="8"/>
  <c r="AC14"/>
  <c r="Z17" i="67"/>
  <c r="AA19"/>
  <c r="AC12" i="64"/>
  <c r="AC22" i="67"/>
  <c r="AC21" s="1"/>
  <c r="AC9" i="64"/>
  <c r="AC11" l="1"/>
  <c r="AD12"/>
  <c r="AD9"/>
  <c r="AD11" s="1"/>
  <c r="AB17" i="8"/>
  <c r="AC17" s="1"/>
  <c r="AC15"/>
  <c r="AB12" i="28"/>
  <c r="AB18" s="1"/>
  <c r="AB34" s="1"/>
  <c r="AC15"/>
  <c r="AA18" i="8"/>
  <c r="Z26" i="67"/>
  <c r="Z24" s="1"/>
  <c r="Z16" s="1"/>
  <c r="U36" i="28"/>
  <c r="AB19" i="67"/>
  <c r="AA17"/>
  <c r="C7" i="61"/>
  <c r="U7" i="67"/>
  <c r="U6" s="1"/>
  <c r="U5" s="1"/>
  <c r="U28" s="1"/>
  <c r="V7" i="28"/>
  <c r="V35"/>
  <c r="V7" i="67" l="1"/>
  <c r="V6" s="1"/>
  <c r="V5" s="1"/>
  <c r="V28" s="1"/>
  <c r="W7" i="28"/>
  <c r="W35"/>
  <c r="AB18" i="8"/>
  <c r="AA26" i="67"/>
  <c r="AA24" s="1"/>
  <c r="AA16" s="1"/>
  <c r="AE12" i="64"/>
  <c r="AE9"/>
  <c r="AE11" s="1"/>
  <c r="V36" i="28"/>
  <c r="C6" i="61"/>
  <c r="C5" s="1"/>
  <c r="C11"/>
  <c r="C12" s="1"/>
  <c r="C13" s="1"/>
  <c r="AC19" i="67"/>
  <c r="AB17"/>
  <c r="AC12" i="28"/>
  <c r="AC18" l="1"/>
  <c r="AC34" s="1"/>
  <c r="AC17" i="67"/>
  <c r="AC33" s="1"/>
  <c r="AC34" s="1"/>
  <c r="X7" i="28"/>
  <c r="W7" i="67"/>
  <c r="W6" s="1"/>
  <c r="W5" s="1"/>
  <c r="W28" s="1"/>
  <c r="X35" i="28"/>
  <c r="AF9" i="64"/>
  <c r="AF12"/>
  <c r="AB26" i="67"/>
  <c r="AB24" s="1"/>
  <c r="AB16" s="1"/>
  <c r="AC18" i="8"/>
  <c r="W36" i="28"/>
  <c r="AF11" i="64" l="1"/>
  <c r="AC26" i="67"/>
  <c r="AG12" i="64"/>
  <c r="AG9"/>
  <c r="AG11" s="1"/>
  <c r="Y7" i="28"/>
  <c r="X7" i="67"/>
  <c r="X6" s="1"/>
  <c r="X5" s="1"/>
  <c r="X28" s="1"/>
  <c r="Y35" i="28"/>
  <c r="AJ37"/>
  <c r="AJ38" s="1"/>
  <c r="AC39" i="67"/>
  <c r="X36" i="28"/>
  <c r="Z35" l="1"/>
  <c r="Y7" i="67"/>
  <c r="Y6" s="1"/>
  <c r="Y5" s="1"/>
  <c r="Y28" s="1"/>
  <c r="Z7" i="28"/>
  <c r="Z36" s="1"/>
  <c r="AH12" i="64"/>
  <c r="AH9"/>
  <c r="AH11" s="1"/>
  <c r="Y36" i="28"/>
  <c r="AJ40"/>
  <c r="AJ44"/>
  <c r="AC30" i="67"/>
  <c r="AC37" s="1"/>
  <c r="AC40" s="1"/>
  <c r="AC24"/>
  <c r="AC16" s="1"/>
  <c r="AJ46" i="28" l="1"/>
  <c r="AJ47"/>
  <c r="AJ41"/>
  <c r="AJ43" s="1"/>
  <c r="AJ48"/>
  <c r="AH48"/>
  <c r="AJ42"/>
  <c r="AA7"/>
  <c r="Z7" i="67"/>
  <c r="Z6" s="1"/>
  <c r="Z5" s="1"/>
  <c r="Z28" s="1"/>
  <c r="AA35" i="28"/>
  <c r="AI12" i="64"/>
  <c r="AI9"/>
  <c r="AJ9" l="1"/>
  <c r="AJ11" s="1"/>
  <c r="AJ12"/>
  <c r="AI11"/>
  <c r="AA7" i="67"/>
  <c r="AA6" s="1"/>
  <c r="AA5" s="1"/>
  <c r="AA28" s="1"/>
  <c r="AB35" i="28"/>
  <c r="AB7"/>
  <c r="AB36" s="1"/>
  <c r="AA36"/>
  <c r="AC35" l="1"/>
  <c r="AB7" i="67"/>
  <c r="AB6" s="1"/>
  <c r="AB5" s="1"/>
  <c r="AB28" s="1"/>
  <c r="AK9" i="64"/>
  <c r="AK11" s="1"/>
  <c r="AK12"/>
  <c r="AD7" i="28" l="1"/>
  <c r="AC7" i="67"/>
  <c r="AC6" s="1"/>
  <c r="AC5" s="1"/>
  <c r="AC28" s="1"/>
  <c r="AC36" i="28"/>
  <c r="AL12" i="64"/>
  <c r="AL9"/>
  <c r="AL11" s="1"/>
  <c r="AM9" l="1"/>
  <c r="AM11" s="1"/>
  <c r="AM12"/>
  <c r="AN12" l="1"/>
  <c r="AO12" s="1"/>
  <c r="AN9"/>
  <c r="AD22" i="67" l="1"/>
  <c r="AD21" s="1"/>
  <c r="AP9" i="64"/>
  <c r="AP12"/>
  <c r="AN11"/>
  <c r="AO11" s="1"/>
  <c r="AO9"/>
  <c r="AQ9" l="1"/>
  <c r="AQ11" s="1"/>
  <c r="AQ12"/>
  <c r="AD14" i="8"/>
  <c r="AD15" i="28"/>
  <c r="AP11" i="64"/>
  <c r="AD12" i="28" l="1"/>
  <c r="D7" i="61"/>
  <c r="AD15" i="8"/>
  <c r="AD19" i="67"/>
  <c r="AR12" i="64"/>
  <c r="AR9"/>
  <c r="AS12" l="1"/>
  <c r="AS9"/>
  <c r="AS11" s="1"/>
  <c r="AR11"/>
  <c r="D6" i="61"/>
  <c r="D5" s="1"/>
  <c r="D11"/>
  <c r="D12" s="1"/>
  <c r="D13" s="1"/>
  <c r="AD18" i="28"/>
  <c r="AD17" i="67"/>
  <c r="AD33" s="1"/>
  <c r="AD34" s="1"/>
  <c r="AD17" i="8"/>
  <c r="AD18" l="1"/>
  <c r="AD34" i="28"/>
  <c r="AD35"/>
  <c r="AT9" i="64"/>
  <c r="AT12"/>
  <c r="AT11" l="1"/>
  <c r="AK37" i="28"/>
  <c r="AK38" s="1"/>
  <c r="AD39" i="67"/>
  <c r="AD36" i="28"/>
  <c r="AU9" i="64"/>
  <c r="AU11" s="1"/>
  <c r="AU12"/>
  <c r="AE7" i="28"/>
  <c r="AD7" i="67"/>
  <c r="AD6" s="1"/>
  <c r="AD5" s="1"/>
  <c r="AD26"/>
  <c r="AD30" l="1"/>
  <c r="AD37" s="1"/>
  <c r="AD24"/>
  <c r="AD16" s="1"/>
  <c r="AV9" i="64"/>
  <c r="AV11" s="1"/>
  <c r="AV12"/>
  <c r="AK40" i="28"/>
  <c r="AK44"/>
  <c r="AD28" i="67"/>
  <c r="AD40"/>
  <c r="AK46" i="28" l="1"/>
  <c r="AK47"/>
  <c r="AK41"/>
  <c r="AK43" s="1"/>
  <c r="AK48"/>
  <c r="AK42"/>
  <c r="AW9" i="64"/>
  <c r="AW12"/>
  <c r="AW11" l="1"/>
  <c r="AX9"/>
  <c r="AX11" s="1"/>
  <c r="AX12"/>
  <c r="AY9" l="1"/>
  <c r="AY11" s="1"/>
  <c r="AY12"/>
  <c r="AZ9" l="1"/>
  <c r="AZ11" s="1"/>
  <c r="AZ12"/>
  <c r="BA12" l="1"/>
  <c r="BB12" s="1"/>
  <c r="BA9"/>
  <c r="BC12" l="1"/>
  <c r="AE22" i="67"/>
  <c r="AE21" s="1"/>
  <c r="BC9" i="64"/>
  <c r="BA11"/>
  <c r="BB11" s="1"/>
  <c r="BB9"/>
  <c r="AE14" i="8" l="1"/>
  <c r="BC11" i="64"/>
  <c r="BD9"/>
  <c r="BD11" s="1"/>
  <c r="BD12"/>
  <c r="AE15" i="28"/>
  <c r="AE12" l="1"/>
  <c r="E7" i="61"/>
  <c r="AE15" i="8"/>
  <c r="AE19" i="67"/>
  <c r="BE9" i="64"/>
  <c r="BE12"/>
  <c r="BF9" l="1"/>
  <c r="BF11" s="1"/>
  <c r="BF12"/>
  <c r="E6" i="61"/>
  <c r="E5" s="1"/>
  <c r="E11"/>
  <c r="E12" s="1"/>
  <c r="E13" s="1"/>
  <c r="AE18" i="28"/>
  <c r="BE11" i="64"/>
  <c r="AE17" i="67"/>
  <c r="AE33" s="1"/>
  <c r="AE34" s="1"/>
  <c r="AE17" i="8"/>
  <c r="AE18" l="1"/>
  <c r="AE34" i="28"/>
  <c r="AE35"/>
  <c r="BG9" i="64"/>
  <c r="BG12"/>
  <c r="BH9" l="1"/>
  <c r="BH11" s="1"/>
  <c r="BH12"/>
  <c r="AL37" i="28"/>
  <c r="AL38" s="1"/>
  <c r="AE39" i="67"/>
  <c r="AE36" i="28"/>
  <c r="BG11" i="64"/>
  <c r="AF7" i="28"/>
  <c r="AE7" i="67"/>
  <c r="AE6" s="1"/>
  <c r="AE5" s="1"/>
  <c r="AE26"/>
  <c r="AE30" l="1"/>
  <c r="AE37" s="1"/>
  <c r="AE24"/>
  <c r="AE16" s="1"/>
  <c r="AL40" i="28"/>
  <c r="AL44"/>
  <c r="BI9" i="64"/>
  <c r="BI12"/>
  <c r="AE28" i="67"/>
  <c r="AE40"/>
  <c r="BJ12" i="64" l="1"/>
  <c r="BJ9"/>
  <c r="BJ11" s="1"/>
  <c r="BI11"/>
  <c r="AL41" i="28"/>
  <c r="AL48"/>
  <c r="B49"/>
  <c r="B27" i="33" s="1"/>
  <c r="AL42" i="28"/>
  <c r="AL47"/>
  <c r="AL46"/>
  <c r="B50" l="1"/>
  <c r="B28" i="33" s="1"/>
  <c r="AL43" i="28"/>
  <c r="BK9" i="64"/>
  <c r="BK12"/>
  <c r="BL9" l="1"/>
  <c r="BL11" s="1"/>
  <c r="BL12"/>
  <c r="BK11"/>
  <c r="BM9" l="1"/>
  <c r="BM11" s="1"/>
  <c r="BM12"/>
  <c r="BN12" l="1"/>
  <c r="BO12" s="1"/>
  <c r="BN9"/>
  <c r="BP12" l="1"/>
  <c r="BP9"/>
  <c r="AF22" i="67"/>
  <c r="AF21" s="1"/>
  <c r="CP12" i="64"/>
  <c r="BN11"/>
  <c r="BO11" s="1"/>
  <c r="BO9"/>
  <c r="AF14" i="8" l="1"/>
  <c r="AF15" i="28"/>
  <c r="BQ9" i="64"/>
  <c r="BQ11" s="1"/>
  <c r="BQ12"/>
  <c r="BP11"/>
  <c r="BR9" l="1"/>
  <c r="BR12"/>
  <c r="AF12" i="28"/>
  <c r="F7" i="61"/>
  <c r="AF15" i="8"/>
  <c r="AF19" i="67"/>
  <c r="AF17" l="1"/>
  <c r="AF33" s="1"/>
  <c r="AF34" s="1"/>
  <c r="AF17" i="8"/>
  <c r="F6" i="61"/>
  <c r="F5" s="1"/>
  <c r="F11"/>
  <c r="F12" s="1"/>
  <c r="F13" s="1"/>
  <c r="AF18" i="28"/>
  <c r="BR11" i="64"/>
  <c r="BS9"/>
  <c r="BS11" s="1"/>
  <c r="BS12"/>
  <c r="BT9" l="1"/>
  <c r="BT12"/>
  <c r="AF34" i="28"/>
  <c r="AF35"/>
  <c r="B19" i="33"/>
  <c r="AF18" i="8"/>
  <c r="AF26" i="67" l="1"/>
  <c r="AF39"/>
  <c r="AM37" i="28"/>
  <c r="AM38" s="1"/>
  <c r="AF36"/>
  <c r="BT11" i="64"/>
  <c r="AF7" i="67"/>
  <c r="AF6" s="1"/>
  <c r="AF5" s="1"/>
  <c r="AG7" i="28"/>
  <c r="A2"/>
  <c r="BU9" i="64"/>
  <c r="BU11" s="1"/>
  <c r="BU12"/>
  <c r="B22" i="33" l="1"/>
  <c r="AM40" i="28"/>
  <c r="AM44"/>
  <c r="BV12" i="64"/>
  <c r="BV9"/>
  <c r="BV11" s="1"/>
  <c r="AF30" i="67"/>
  <c r="AF37" s="1"/>
  <c r="AF40" s="1"/>
  <c r="AF24"/>
  <c r="B23" i="33" l="1"/>
  <c r="AF16" i="67"/>
  <c r="BW12" i="64"/>
  <c r="BW9"/>
  <c r="AM41" i="28"/>
  <c r="AM43" s="1"/>
  <c r="AM48"/>
  <c r="AM42"/>
  <c r="AM46"/>
  <c r="AM47"/>
  <c r="BX12" i="64" l="1"/>
  <c r="BX9"/>
  <c r="BX11" s="1"/>
  <c r="BW11"/>
  <c r="AF28" i="67"/>
  <c r="B20" i="33"/>
  <c r="BY12" i="64" l="1"/>
  <c r="BY9"/>
  <c r="BY11" s="1"/>
  <c r="BZ9" l="1"/>
  <c r="BZ11" s="1"/>
  <c r="BZ12"/>
  <c r="CA12" l="1"/>
  <c r="CB12" s="1"/>
  <c r="CA9"/>
  <c r="CA11" l="1"/>
  <c r="CB11" s="1"/>
  <c r="CB9"/>
  <c r="CC9"/>
  <c r="AG22" i="67"/>
  <c r="AG21" s="1"/>
  <c r="CC12" i="64"/>
  <c r="CD9" l="1"/>
  <c r="CD11" s="1"/>
  <c r="CD12"/>
  <c r="CC11"/>
  <c r="AG15" i="28"/>
  <c r="AG14" i="8"/>
  <c r="CE9" i="64" l="1"/>
  <c r="CE12"/>
  <c r="G7" i="61"/>
  <c r="AG15" i="8"/>
  <c r="AG19" i="67"/>
  <c r="AG12" i="28"/>
  <c r="AG18" l="1"/>
  <c r="G11" i="61"/>
  <c r="G12" s="1"/>
  <c r="G13" s="1"/>
  <c r="G6"/>
  <c r="G5" s="1"/>
  <c r="CE11" i="64"/>
  <c r="AG17" i="67"/>
  <c r="AG33" s="1"/>
  <c r="AG34" s="1"/>
  <c r="AG17" i="8"/>
  <c r="CF9" i="64"/>
  <c r="CF11" s="1"/>
  <c r="CF12"/>
  <c r="AG18" i="8" l="1"/>
  <c r="AG34" i="28"/>
  <c r="AG35"/>
  <c r="CG12" i="64"/>
  <c r="CG9"/>
  <c r="CG11" s="1"/>
  <c r="CH9" l="1"/>
  <c r="CH12"/>
  <c r="AN37" i="28"/>
  <c r="AN38" s="1"/>
  <c r="AG39" i="67"/>
  <c r="AG36" i="28"/>
  <c r="AH7"/>
  <c r="AG7" i="67"/>
  <c r="AG6" s="1"/>
  <c r="AG5" s="1"/>
  <c r="AG26"/>
  <c r="CI9" i="64" l="1"/>
  <c r="CI11" s="1"/>
  <c r="CI12"/>
  <c r="AG30" i="67"/>
  <c r="AG37" s="1"/>
  <c r="AG40" s="1"/>
  <c r="AG24"/>
  <c r="AG16" s="1"/>
  <c r="AG28" s="1"/>
  <c r="AN40" i="28"/>
  <c r="AN44"/>
  <c r="CH11" i="64"/>
  <c r="AN46" i="28" l="1"/>
  <c r="AN47"/>
  <c r="AN41"/>
  <c r="AN43" s="1"/>
  <c r="AN48"/>
  <c r="AN42"/>
  <c r="CJ9" i="64"/>
  <c r="CJ12"/>
  <c r="CJ11" l="1"/>
  <c r="CK9"/>
  <c r="CK11" s="1"/>
  <c r="CK12"/>
  <c r="CL9" l="1"/>
  <c r="CL11" s="1"/>
  <c r="CL12"/>
  <c r="CM9" l="1"/>
  <c r="CM11" s="1"/>
  <c r="CM12"/>
  <c r="CN9" l="1"/>
  <c r="CN12"/>
  <c r="CO12" s="1"/>
  <c r="CN11" l="1"/>
  <c r="CO11" s="1"/>
  <c r="CO9"/>
  <c r="AH22" i="67"/>
  <c r="AH21" s="1"/>
  <c r="B12" i="64"/>
  <c r="AH15" i="28" l="1"/>
  <c r="B11" i="64"/>
  <c r="AH14" i="8"/>
  <c r="B9" i="64"/>
  <c r="A17" s="1"/>
  <c r="H7" i="61" l="1"/>
  <c r="AH15" i="8"/>
  <c r="B14"/>
  <c r="AH19" i="67"/>
  <c r="AH17" s="1"/>
  <c r="AH33" s="1"/>
  <c r="AH34" s="1"/>
  <c r="AH12" i="28"/>
  <c r="B15"/>
  <c r="AH18" l="1"/>
  <c r="B12"/>
  <c r="B18" s="1"/>
  <c r="H6" i="61"/>
  <c r="H5" s="1"/>
  <c r="H11"/>
  <c r="H12" s="1"/>
  <c r="H13" s="1"/>
  <c r="AH17" i="8"/>
  <c r="B15"/>
  <c r="B17" l="1"/>
  <c r="AH18"/>
  <c r="AH34" i="28"/>
  <c r="AH35"/>
  <c r="B34"/>
  <c r="B35"/>
  <c r="AO37" l="1"/>
  <c r="AO38" s="1"/>
  <c r="AH39" i="67"/>
  <c r="AH36" i="28"/>
  <c r="AH7" i="67"/>
  <c r="AH6" s="1"/>
  <c r="AH5" s="1"/>
  <c r="B36" i="28"/>
  <c r="B37" s="1"/>
  <c r="B2"/>
  <c r="AH26" i="67"/>
  <c r="B18" i="8"/>
  <c r="AO40" i="28" l="1"/>
  <c r="AO44"/>
  <c r="AH30" i="67"/>
  <c r="AH37" s="1"/>
  <c r="AH24"/>
  <c r="AH16" s="1"/>
  <c r="AH28" s="1"/>
  <c r="AH40"/>
  <c r="AO41" i="28" l="1"/>
  <c r="AO43" s="1"/>
  <c r="AO48"/>
  <c r="B25" i="33" s="1"/>
  <c r="AO42" i="28"/>
  <c r="AO47"/>
  <c r="AO46"/>
  <c r="B26" i="33" s="1"/>
</calcChain>
</file>

<file path=xl/sharedStrings.xml><?xml version="1.0" encoding="utf-8"?>
<sst xmlns="http://schemas.openxmlformats.org/spreadsheetml/2006/main" count="379" uniqueCount="284">
  <si>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</si>
  <si>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</si>
  <si>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</si>
  <si>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</si>
  <si>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</si>
  <si>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</si>
  <si>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</si>
  <si>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</si>
  <si>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</si>
  <si>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</si>
  <si>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</si>
  <si>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</si>
  <si>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</si>
  <si>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</si>
  <si>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</si>
  <si>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</si>
  <si>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</si>
  <si>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</si>
  <si>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</si>
  <si>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</si>
  <si>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</si>
  <si>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</si>
  <si>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</si>
  <si>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</si>
  <si>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</si>
  <si>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</si>
  <si>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</si>
  <si>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</si>
  <si>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</si>
  <si>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</si>
  <si>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</si>
  <si>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</si>
  <si>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</si>
  <si>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</si>
  <si>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</si>
  <si>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</si>
  <si>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</si>
  <si>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</si>
  <si>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</si>
  <si>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</si>
  <si>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</si>
  <si>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</si>
  <si>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</si>
  <si>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</si>
  <si>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</si>
  <si>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</si>
  <si>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</si>
  <si>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</si>
  <si>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</si>
  <si>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</si>
  <si>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</si>
  <si>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</si>
  <si>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</si>
  <si>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</si>
  <si>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</si>
  <si>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</si>
  <si>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</si>
  <si>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</si>
  <si>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</si>
  <si>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</si>
  <si>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</si>
  <si>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</si>
  <si>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</si>
  <si>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</si>
  <si>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</si>
  <si>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</si>
  <si>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</si>
  <si>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</si>
  <si>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</si>
  <si>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</si>
  <si>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</si>
  <si>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</si>
  <si>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</si>
  <si>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</si>
  <si>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</si>
  <si>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</si>
  <si>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</si>
  <si>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</si>
  <si>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</si>
  <si>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</si>
  <si>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</si>
  <si>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</si>
  <si>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</si>
  <si>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</si>
  <si>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</si>
  <si>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</si>
  <si>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</si>
  <si>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</si>
  <si>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</si>
  <si>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</si>
  <si>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</si>
  <si>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</si>
  <si>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</si>
  <si>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</si>
  <si>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</si>
  <si>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</si>
  <si>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</si>
  <si>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</si>
  <si>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Переменные расходы в месяц, тыс.тг.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</si>
  <si>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</si>
  <si>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</si>
  <si>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</si>
  <si>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</si>
  <si>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</si>
  <si>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</si>
  <si>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</si>
  <si>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Налог на транспорт</t>
  </si>
  <si>
    <t>Статья расходов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</si>
  <si>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</si>
  <si>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</si>
  <si>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</si>
  <si>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</si>
  <si>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</si>
  <si>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значение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</si>
  <si>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</si>
  <si>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</si>
  <si>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</si>
  <si>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</si>
  <si>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</si>
  <si>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Доход от реализации услуг</t>
  </si>
  <si>
    <t>МЗП</t>
  </si>
  <si>
    <t>Директор</t>
  </si>
  <si>
    <t>Полная себестоимость услуг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</si>
  <si>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</si>
  <si>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</si>
  <si>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</si>
  <si>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</si>
  <si>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</si>
  <si>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</si>
  <si>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</si>
  <si>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</si>
  <si>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</si>
  <si>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</si>
  <si>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</si>
  <si>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</si>
  <si>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</si>
  <si>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</si>
  <si>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</si>
  <si>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</si>
  <si>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</si>
  <si>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</si>
  <si>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</si>
  <si>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</si>
  <si>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</si>
  <si>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</si>
  <si>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</si>
  <si>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</si>
  <si>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</si>
  <si>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</si>
  <si>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</si>
  <si>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</si>
  <si>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</si>
  <si>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</si>
  <si>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</si>
  <si>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</si>
  <si>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</si>
  <si>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</si>
  <si>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</si>
  <si>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</si>
  <si>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Доходы-расходы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</si>
  <si>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</si>
  <si>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</si>
  <si>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</si>
  <si>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</si>
  <si>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</si>
  <si>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</si>
  <si>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</si>
  <si>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</si>
  <si>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</si>
  <si>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</si>
  <si>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</si>
  <si>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Доля собсвенного участия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</si>
  <si>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</si>
  <si>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</si>
  <si>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</si>
  <si>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</si>
  <si>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</si>
  <si>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</si>
  <si>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</si>
  <si>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</si>
  <si>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</si>
  <si>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</si>
  <si>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</si>
  <si>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Собственные средств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</si>
  <si>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</si>
  <si>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</si>
  <si>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</si>
  <si>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</si>
  <si>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</si>
  <si>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</si>
  <si>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</si>
  <si>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</si>
  <si>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</si>
  <si>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период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</si>
  <si>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</si>
  <si>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</si>
  <si>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</si>
  <si>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</si>
  <si>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</si>
  <si>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Планируемая программа производства и продаж по годам проекта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</si>
  <si>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</si>
  <si>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</si>
  <si>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</si>
  <si>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</si>
  <si>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</si>
  <si>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Начало работы</t>
  </si>
  <si>
    <t>Здания и сооружения</t>
  </si>
  <si>
    <t>на 5 год проекта</t>
  </si>
  <si>
    <t>Коэффициент покрытия обязательств собственным капиталом</t>
  </si>
  <si>
    <t>Наименование</t>
  </si>
  <si>
    <t>Годовая прибыль (5 год), тыс.тг.</t>
  </si>
  <si>
    <t>Вид налога</t>
  </si>
  <si>
    <t>Сумма, тыс.тг.</t>
  </si>
  <si>
    <t>Земля</t>
  </si>
  <si>
    <t>Водитель</t>
  </si>
  <si>
    <t>Налог на транспорт и имущество</t>
  </si>
  <si>
    <t>Налог на деятельность ИП</t>
  </si>
  <si>
    <t>тг.</t>
  </si>
  <si>
    <t>Количество авто</t>
  </si>
  <si>
    <t>ед.</t>
  </si>
  <si>
    <t>Кол-во авто</t>
  </si>
  <si>
    <t>ГСМ</t>
  </si>
  <si>
    <t>Норма расхода ДТ, л/100 км.</t>
  </si>
  <si>
    <t>Норма для расчетов, л/100 км.</t>
  </si>
  <si>
    <t>"+10%</t>
  </si>
  <si>
    <t>Масло, л/100 км.</t>
  </si>
  <si>
    <t>10% от нормы расхода ДТ</t>
  </si>
  <si>
    <t>Цена 1 литра ДТ</t>
  </si>
  <si>
    <t>Цена 1 литра масла</t>
  </si>
  <si>
    <t>источник КазАгроМаркетинг</t>
  </si>
  <si>
    <t>Расходы на ГСМ в мес. на 1 авто, тыс.тг.</t>
  </si>
  <si>
    <t>Расходы на ГСМ в мес. всего, тыс.тг.</t>
  </si>
  <si>
    <t>Бухгалтер</t>
  </si>
  <si>
    <t>Командировочные расходы</t>
  </si>
  <si>
    <t>Хоз.товары</t>
  </si>
  <si>
    <t>Ремонт авто</t>
  </si>
  <si>
    <t>лимит</t>
  </si>
  <si>
    <t>Тех.обслуживание</t>
  </si>
  <si>
    <t>Техника</t>
  </si>
  <si>
    <t>услуги автоперевозки</t>
  </si>
  <si>
    <t>% загрузки</t>
  </si>
  <si>
    <t>Остаток денежных средств на начало периода</t>
  </si>
  <si>
    <t>на 5 год проекта, т.к. на 7 год проекта происходит полное погашение кредитных обязательств</t>
  </si>
  <si>
    <t>Величина налоговых поступлений за 7 лет, тыс.тг.</t>
  </si>
  <si>
    <t>% загруженности авто</t>
  </si>
  <si>
    <t>Кол-во авто, ед.</t>
  </si>
  <si>
    <t>от реализации услуг автоперевозок</t>
  </si>
  <si>
    <t>Предоплата за авто</t>
  </si>
  <si>
    <t>Поставка авто</t>
  </si>
  <si>
    <t>Заключение контрактов</t>
  </si>
  <si>
    <t>Поиск персонала</t>
  </si>
  <si>
    <t>исходя из предложений на satu.kz</t>
  </si>
  <si>
    <t>Расходы, тыс.тг.</t>
  </si>
  <si>
    <t>Источник финансирования, тыс.тг.</t>
  </si>
  <si>
    <t>02-03.2012</t>
  </si>
  <si>
    <t>Тип погашения основного долга</t>
  </si>
  <si>
    <t>Исходя из характеристик автомобиля</t>
  </si>
  <si>
    <t>Mercedes-Benz 410D</t>
  </si>
  <si>
    <t>Первоначальные инвестиции, тыс.тг.</t>
  </si>
  <si>
    <t>Кол-во рабочих дней</t>
  </si>
  <si>
    <t>дн./мес.</t>
  </si>
  <si>
    <t>Цена за 1 час.</t>
  </si>
  <si>
    <t>Время работы в день</t>
  </si>
  <si>
    <t>час/день</t>
  </si>
  <si>
    <t>Цена 1 часа, тг.</t>
  </si>
  <si>
    <t>Доход, тыс.тг.</t>
  </si>
  <si>
    <t>Доходы в месяц</t>
  </si>
  <si>
    <t>Кол-во часов в мес., час.</t>
  </si>
  <si>
    <t>Пробег 1 авто в мес.</t>
  </si>
  <si>
    <t>Пробег 1 авто</t>
  </si>
  <si>
    <t>км./мес.</t>
  </si>
  <si>
    <t>предложения автоперевозок на irr.kz</t>
  </si>
  <si>
    <t>НК РК (10 584 тг/1 машина), 7 МРП</t>
  </si>
  <si>
    <t>Доля основных средств в стоимости активов</t>
  </si>
  <si>
    <t>Налог на деятельность ИП, налоги от ФОТ</t>
  </si>
  <si>
    <t>Налог на деятельность ИП, налоги ФОТ</t>
  </si>
  <si>
    <t>Доход до выплаты налогов</t>
  </si>
  <si>
    <t>Кол-во рабочих дней, дн./мес.</t>
  </si>
  <si>
    <t>Среднее время работы в день, час.</t>
  </si>
  <si>
    <t>Цена за 1 час, тг.</t>
  </si>
  <si>
    <t>Продажи, тыс.тг. (в год)</t>
  </si>
  <si>
    <t>Кол-во машин</t>
  </si>
  <si>
    <t>Время оказанных услуг по автоперевозкам, час/год</t>
  </si>
  <si>
    <t>Расходы на рекламу</t>
  </si>
</sst>
</file>

<file path=xl/styles.xml><?xml version="1.0" encoding="utf-8"?>
<styleSheet xmlns="http://schemas.openxmlformats.org/spreadsheetml/2006/main">
  <numFmts count="17">
    <numFmt numFmtId="41" formatCode="_-* #,##0_р_._-;\-* #,##0_р_._-;_-* &quot;-&quot;_р_.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1" formatCode="&quot;\&quot;#,##0;[Red]&quot;\&quot;\-#,##0"/>
    <numFmt numFmtId="172" formatCode="&quot;\&quot;#,##0.00;[Red]&quot;\&quot;\-#,##0.00"/>
    <numFmt numFmtId="173" formatCode="&quot;See Note &quot;\ #"/>
    <numFmt numFmtId="174" formatCode="\$\ #,##0"/>
    <numFmt numFmtId="175" formatCode="_-* #,##0.00[$€]_-;\-* #,##0.00[$€]_-;_-* &quot;-&quot;??[$€]_-;_-@_-"/>
    <numFmt numFmtId="179" formatCode="0.000"/>
    <numFmt numFmtId="186" formatCode="_-* #,##0_р_._-;\-* #,##0_р_._-;_-* &quot;-&quot;??_р_._-;_-@_-"/>
    <numFmt numFmtId="201" formatCode="#,##0_ ;\-#,##0\ "/>
    <numFmt numFmtId="202" formatCode="#,##0.0_ ;\-#,##0.0\ 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</font>
    <font>
      <sz val="8"/>
      <name val="Helv"/>
      <family val="2"/>
    </font>
    <font>
      <sz val="8"/>
      <name val="Times New Roman"/>
      <family val="1"/>
    </font>
    <font>
      <sz val="10"/>
      <name val="Arial"/>
      <family val="2"/>
      <charset val="204"/>
    </font>
    <font>
      <sz val="12"/>
      <name val="Times New Roman Cyr"/>
      <charset val="204"/>
    </font>
    <font>
      <sz val="10"/>
      <name val="Geneva"/>
      <charset val="204"/>
    </font>
    <font>
      <sz val="11"/>
      <name val="lr oSVbN"/>
      <family val="3"/>
    </font>
    <font>
      <sz val="8"/>
      <name val="Arial"/>
      <family val="2"/>
      <charset val="204"/>
    </font>
    <font>
      <sz val="10"/>
      <name val="Arial Cyr"/>
      <charset val="204"/>
    </font>
    <font>
      <sz val="9"/>
      <color indexed="8"/>
      <name val="Futuris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8"/>
      <name val="Arial"/>
      <family val="2"/>
      <charset val="204"/>
    </font>
    <font>
      <i/>
      <sz val="10"/>
      <color theme="3" tint="0.3999755851924192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sz val="10"/>
      <color theme="3" tint="0.3999755851924192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16" fillId="0" borderId="0">
      <alignment vertical="top" wrapText="1"/>
    </xf>
    <xf numFmtId="175" fontId="1" fillId="0" borderId="0" applyFont="0" applyFill="0" applyBorder="0" applyAlignment="0" applyProtection="0"/>
    <xf numFmtId="0" fontId="6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/>
    <xf numFmtId="173" fontId="8" fillId="0" borderId="0">
      <alignment horizontal="left"/>
    </xf>
    <xf numFmtId="174" fontId="9" fillId="0" borderId="0"/>
    <xf numFmtId="173" fontId="8" fillId="0" borderId="0">
      <alignment horizontal="left"/>
    </xf>
    <xf numFmtId="0" fontId="1" fillId="0" borderId="0"/>
    <xf numFmtId="0" fontId="15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296">
    <xf numFmtId="0" fontId="0" fillId="0" borderId="0" xfId="0"/>
    <xf numFmtId="0" fontId="17" fillId="0" borderId="0" xfId="18" applyFont="1" applyFill="1" applyBorder="1" applyAlignment="1"/>
    <xf numFmtId="0" fontId="10" fillId="0" borderId="0" xfId="18" applyFont="1" applyFill="1" applyBorder="1"/>
    <xf numFmtId="0" fontId="10" fillId="0" borderId="0" xfId="18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0" fontId="18" fillId="0" borderId="0" xfId="16" applyFont="1" applyFill="1" applyBorder="1" applyAlignment="1">
      <alignment horizontal="left"/>
    </xf>
    <xf numFmtId="0" fontId="10" fillId="0" borderId="0" xfId="0" applyFont="1" applyFill="1" applyBorder="1"/>
    <xf numFmtId="0" fontId="17" fillId="0" borderId="0" xfId="0" applyFont="1" applyFill="1" applyBorder="1"/>
    <xf numFmtId="0" fontId="10" fillId="0" borderId="0" xfId="0" applyFont="1" applyFill="1"/>
    <xf numFmtId="164" fontId="10" fillId="0" borderId="0" xfId="0" applyNumberFormat="1" applyFont="1" applyFill="1" applyAlignment="1"/>
    <xf numFmtId="164" fontId="10" fillId="0" borderId="0" xfId="0" applyNumberFormat="1" applyFont="1" applyFill="1" applyAlignment="1">
      <alignment horizontal="center"/>
    </xf>
    <xf numFmtId="0" fontId="10" fillId="0" borderId="0" xfId="18" applyFont="1" applyFill="1" applyBorder="1" applyAlignment="1"/>
    <xf numFmtId="0" fontId="17" fillId="0" borderId="0" xfId="18" applyFont="1" applyFill="1" applyBorder="1" applyAlignment="1">
      <alignment horizontal="center"/>
    </xf>
    <xf numFmtId="0" fontId="19" fillId="0" borderId="0" xfId="18" applyFont="1" applyFill="1" applyBorder="1"/>
    <xf numFmtId="14" fontId="10" fillId="0" borderId="0" xfId="18" applyNumberFormat="1" applyFont="1" applyFill="1" applyBorder="1"/>
    <xf numFmtId="0" fontId="17" fillId="0" borderId="1" xfId="18" applyFont="1" applyFill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center" vertical="center" wrapText="1"/>
    </xf>
    <xf numFmtId="2" fontId="17" fillId="2" borderId="1" xfId="18" applyNumberFormat="1" applyFont="1" applyFill="1" applyBorder="1" applyAlignment="1">
      <alignment wrapText="1"/>
    </xf>
    <xf numFmtId="3" fontId="17" fillId="2" borderId="1" xfId="18" applyNumberFormat="1" applyFont="1" applyFill="1" applyBorder="1" applyAlignment="1">
      <alignment horizontal="right" wrapText="1"/>
    </xf>
    <xf numFmtId="0" fontId="17" fillId="2" borderId="1" xfId="18" applyFont="1" applyFill="1" applyBorder="1" applyAlignment="1">
      <alignment horizontal="left" wrapText="1"/>
    </xf>
    <xf numFmtId="3" fontId="17" fillId="2" borderId="1" xfId="18" applyNumberFormat="1" applyFont="1" applyFill="1" applyBorder="1" applyAlignment="1"/>
    <xf numFmtId="0" fontId="17" fillId="0" borderId="0" xfId="0" applyFont="1" applyFill="1"/>
    <xf numFmtId="0" fontId="17" fillId="3" borderId="2" xfId="18" applyFont="1" applyFill="1" applyBorder="1" applyAlignment="1">
      <alignment vertical="center"/>
    </xf>
    <xf numFmtId="0" fontId="17" fillId="3" borderId="3" xfId="18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horizontal="right" vertical="center"/>
    </xf>
    <xf numFmtId="0" fontId="17" fillId="0" borderId="1" xfId="18" applyFont="1" applyFill="1" applyBorder="1" applyAlignment="1">
      <alignment vertical="center" wrapText="1"/>
    </xf>
    <xf numFmtId="3" fontId="17" fillId="0" borderId="1" xfId="18" applyNumberFormat="1" applyFont="1" applyFill="1" applyBorder="1" applyAlignment="1">
      <alignment horizontal="right" wrapText="1"/>
    </xf>
    <xf numFmtId="0" fontId="10" fillId="0" borderId="1" xfId="18" applyFont="1" applyFill="1" applyBorder="1" applyAlignment="1">
      <alignment vertical="center" wrapText="1"/>
    </xf>
    <xf numFmtId="3" fontId="10" fillId="0" borderId="1" xfId="18" applyNumberFormat="1" applyFont="1" applyFill="1" applyBorder="1" applyAlignment="1">
      <alignment horizontal="right"/>
    </xf>
    <xf numFmtId="0" fontId="17" fillId="0" borderId="1" xfId="18" applyFont="1" applyFill="1" applyBorder="1" applyAlignment="1">
      <alignment horizontal="left" vertical="center" wrapText="1" indent="1"/>
    </xf>
    <xf numFmtId="3" fontId="17" fillId="0" borderId="1" xfId="18" applyNumberFormat="1" applyFont="1" applyFill="1" applyBorder="1" applyAlignment="1">
      <alignment vertical="center" wrapText="1"/>
    </xf>
    <xf numFmtId="9" fontId="17" fillId="0" borderId="1" xfId="18" applyNumberFormat="1" applyFont="1" applyFill="1" applyBorder="1" applyAlignment="1">
      <alignment horizontal="right" wrapText="1"/>
    </xf>
    <xf numFmtId="3" fontId="10" fillId="0" borderId="1" xfId="18" applyNumberFormat="1" applyFont="1" applyFill="1" applyBorder="1" applyAlignment="1">
      <alignment horizontal="right" wrapText="1"/>
    </xf>
    <xf numFmtId="0" fontId="17" fillId="2" borderId="1" xfId="18" applyFont="1" applyFill="1" applyBorder="1" applyAlignment="1">
      <alignment vertical="center" wrapText="1"/>
    </xf>
    <xf numFmtId="3" fontId="17" fillId="3" borderId="1" xfId="18" applyNumberFormat="1" applyFont="1" applyFill="1" applyBorder="1" applyAlignment="1">
      <alignment horizontal="right" wrapText="1"/>
    </xf>
    <xf numFmtId="3" fontId="17" fillId="0" borderId="1" xfId="18" applyNumberFormat="1" applyFont="1" applyFill="1" applyBorder="1" applyAlignment="1">
      <alignment horizontal="right"/>
    </xf>
    <xf numFmtId="0" fontId="10" fillId="0" borderId="1" xfId="18" applyFont="1" applyFill="1" applyBorder="1" applyAlignment="1">
      <alignment wrapText="1"/>
    </xf>
    <xf numFmtId="0" fontId="17" fillId="2" borderId="1" xfId="18" applyFont="1" applyFill="1" applyBorder="1" applyAlignment="1">
      <alignment wrapText="1"/>
    </xf>
    <xf numFmtId="1" fontId="20" fillId="0" borderId="2" xfId="18" applyNumberFormat="1" applyFont="1" applyFill="1" applyBorder="1" applyAlignment="1">
      <alignment wrapText="1"/>
    </xf>
    <xf numFmtId="3" fontId="21" fillId="0" borderId="1" xfId="18" applyNumberFormat="1" applyFont="1" applyFill="1" applyBorder="1" applyAlignment="1">
      <alignment horizontal="right" wrapText="1"/>
    </xf>
    <xf numFmtId="3" fontId="20" fillId="0" borderId="1" xfId="18" applyNumberFormat="1" applyFont="1" applyFill="1" applyBorder="1" applyAlignment="1">
      <alignment horizontal="right" wrapText="1"/>
    </xf>
    <xf numFmtId="1" fontId="21" fillId="0" borderId="0" xfId="0" applyNumberFormat="1" applyFont="1" applyFill="1"/>
    <xf numFmtId="0" fontId="10" fillId="0" borderId="1" xfId="18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164" fontId="10" fillId="0" borderId="2" xfId="12" applyNumberFormat="1" applyFont="1" applyFill="1" applyBorder="1" applyAlignment="1">
      <alignment vertical="center" wrapText="1"/>
    </xf>
    <xf numFmtId="164" fontId="10" fillId="0" borderId="1" xfId="12" applyNumberFormat="1" applyFont="1" applyFill="1" applyBorder="1" applyAlignment="1">
      <alignment horizontal="right" vertical="center" wrapText="1"/>
    </xf>
    <xf numFmtId="0" fontId="10" fillId="0" borderId="0" xfId="16" applyFont="1" applyFill="1"/>
    <xf numFmtId="0" fontId="17" fillId="0" borderId="1" xfId="18" applyFont="1" applyFill="1" applyBorder="1" applyAlignment="1">
      <alignment vertical="center"/>
    </xf>
    <xf numFmtId="3" fontId="17" fillId="7" borderId="1" xfId="18" applyNumberFormat="1" applyFont="1" applyFill="1" applyBorder="1" applyAlignment="1">
      <alignment horizontal="right" wrapText="1"/>
    </xf>
    <xf numFmtId="164" fontId="17" fillId="0" borderId="1" xfId="18" applyNumberFormat="1" applyFont="1" applyFill="1" applyBorder="1" applyAlignment="1">
      <alignment horizontal="right" vertical="center"/>
    </xf>
    <xf numFmtId="164" fontId="17" fillId="0" borderId="1" xfId="18" applyNumberFormat="1" applyFont="1" applyFill="1" applyBorder="1" applyAlignment="1">
      <alignment horizontal="right" wrapText="1"/>
    </xf>
    <xf numFmtId="0" fontId="10" fillId="0" borderId="0" xfId="0" applyFont="1" applyFill="1" applyBorder="1" applyAlignment="1"/>
    <xf numFmtId="164" fontId="10" fillId="0" borderId="0" xfId="0" applyNumberFormat="1" applyFont="1" applyFill="1" applyBorder="1" applyAlignment="1"/>
    <xf numFmtId="0" fontId="17" fillId="0" borderId="0" xfId="0" applyFont="1" applyFill="1" applyBorder="1" applyAlignment="1"/>
    <xf numFmtId="3" fontId="17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9" fontId="17" fillId="0" borderId="0" xfId="0" applyNumberFormat="1" applyFont="1" applyFill="1" applyBorder="1" applyAlignment="1"/>
    <xf numFmtId="0" fontId="10" fillId="0" borderId="0" xfId="0" applyFont="1" applyFill="1" applyAlignment="1"/>
    <xf numFmtId="0" fontId="17" fillId="0" borderId="0" xfId="0" applyFont="1" applyFill="1" applyAlignment="1"/>
    <xf numFmtId="0" fontId="17" fillId="0" borderId="0" xfId="0" applyFont="1"/>
    <xf numFmtId="0" fontId="17" fillId="2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/>
    <xf numFmtId="0" fontId="10" fillId="3" borderId="0" xfId="0" applyFont="1" applyFill="1" applyBorder="1" applyAlignment="1"/>
    <xf numFmtId="3" fontId="10" fillId="3" borderId="0" xfId="0" applyNumberFormat="1" applyFont="1" applyFill="1" applyBorder="1"/>
    <xf numFmtId="0" fontId="10" fillId="4" borderId="0" xfId="0" applyFont="1" applyFill="1" applyBorder="1" applyAlignment="1"/>
    <xf numFmtId="3" fontId="10" fillId="4" borderId="0" xfId="0" applyNumberFormat="1" applyFont="1" applyFill="1" applyBorder="1"/>
    <xf numFmtId="4" fontId="10" fillId="0" borderId="0" xfId="0" applyNumberFormat="1" applyFont="1" applyFill="1" applyBorder="1"/>
    <xf numFmtId="9" fontId="17" fillId="0" borderId="0" xfId="0" applyNumberFormat="1" applyFont="1" applyFill="1" applyBorder="1"/>
    <xf numFmtId="0" fontId="10" fillId="0" borderId="0" xfId="14" applyFont="1"/>
    <xf numFmtId="0" fontId="10" fillId="0" borderId="0" xfId="14" applyFont="1" applyAlignment="1">
      <alignment vertical="center"/>
    </xf>
    <xf numFmtId="0" fontId="10" fillId="0" borderId="0" xfId="14" applyFont="1" applyAlignment="1">
      <alignment horizontal="right" vertical="center"/>
    </xf>
    <xf numFmtId="0" fontId="10" fillId="0" borderId="0" xfId="14" applyFont="1" applyBorder="1" applyAlignment="1">
      <alignment vertical="center"/>
    </xf>
    <xf numFmtId="3" fontId="10" fillId="0" borderId="0" xfId="14" applyNumberFormat="1" applyFont="1" applyBorder="1" applyAlignment="1">
      <alignment horizontal="right" vertical="center"/>
    </xf>
    <xf numFmtId="0" fontId="10" fillId="0" borderId="0" xfId="14" applyFont="1" applyBorder="1" applyAlignment="1">
      <alignment horizontal="right" vertical="center"/>
    </xf>
    <xf numFmtId="0" fontId="10" fillId="0" borderId="0" xfId="14" applyFont="1" applyBorder="1" applyAlignment="1">
      <alignment horizontal="left" vertical="center"/>
    </xf>
    <xf numFmtId="0" fontId="10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/>
    <xf numFmtId="4" fontId="10" fillId="2" borderId="1" xfId="0" applyNumberFormat="1" applyFont="1" applyFill="1" applyBorder="1"/>
    <xf numFmtId="0" fontId="10" fillId="0" borderId="1" xfId="0" applyFont="1" applyBorder="1" applyAlignment="1">
      <alignment horizontal="center"/>
    </xf>
    <xf numFmtId="9" fontId="10" fillId="2" borderId="1" xfId="0" applyNumberFormat="1" applyFont="1" applyFill="1" applyBorder="1"/>
    <xf numFmtId="0" fontId="10" fillId="7" borderId="1" xfId="0" applyFont="1" applyFill="1" applyBorder="1" applyAlignment="1">
      <alignment horizontal="right"/>
    </xf>
    <xf numFmtId="169" fontId="10" fillId="2" borderId="1" xfId="0" applyNumberFormat="1" applyFont="1" applyFill="1" applyBorder="1"/>
    <xf numFmtId="0" fontId="17" fillId="0" borderId="0" xfId="18" applyFont="1" applyFill="1" applyBorder="1" applyAlignment="1">
      <alignment horizontal="left" wrapText="1" shrinkToFit="1"/>
    </xf>
    <xf numFmtId="0" fontId="10" fillId="0" borderId="0" xfId="18" applyFont="1" applyFill="1" applyBorder="1" applyAlignment="1">
      <alignment wrapText="1" shrinkToFit="1"/>
    </xf>
    <xf numFmtId="0" fontId="17" fillId="0" borderId="0" xfId="18" applyFont="1" applyFill="1" applyBorder="1" applyAlignment="1">
      <alignment wrapText="1" shrinkToFit="1"/>
    </xf>
    <xf numFmtId="0" fontId="27" fillId="0" borderId="0" xfId="18" applyNumberFormat="1" applyFont="1" applyFill="1" applyBorder="1" applyAlignment="1">
      <alignment horizontal="left"/>
    </xf>
    <xf numFmtId="9" fontId="27" fillId="0" borderId="0" xfId="18" applyNumberFormat="1" applyFont="1" applyFill="1" applyBorder="1" applyAlignment="1">
      <alignment wrapText="1" shrinkToFit="1"/>
    </xf>
    <xf numFmtId="0" fontId="17" fillId="3" borderId="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 wrapText="1" shrinkToFit="1"/>
    </xf>
    <xf numFmtId="164" fontId="17" fillId="3" borderId="1" xfId="18" applyNumberFormat="1" applyFont="1" applyFill="1" applyBorder="1" applyAlignment="1">
      <alignment horizontal="center" vertical="center" wrapText="1" shrinkToFit="1"/>
    </xf>
    <xf numFmtId="0" fontId="17" fillId="3" borderId="5" xfId="18" applyFont="1" applyFill="1" applyBorder="1" applyAlignment="1">
      <alignment horizontal="center" vertical="center" wrapText="1" shrinkToFit="1"/>
    </xf>
    <xf numFmtId="3" fontId="10" fillId="3" borderId="1" xfId="18" applyNumberFormat="1" applyFont="1" applyFill="1" applyBorder="1" applyAlignment="1">
      <alignment horizontal="center" vertical="center" wrapText="1" shrinkToFit="1"/>
    </xf>
    <xf numFmtId="0" fontId="17" fillId="0" borderId="2" xfId="18" applyFont="1" applyFill="1" applyBorder="1" applyAlignment="1">
      <alignment horizontal="left" vertical="top" wrapText="1" shrinkToFit="1"/>
    </xf>
    <xf numFmtId="3" fontId="17" fillId="0" borderId="1" xfId="18" applyNumberFormat="1" applyFont="1" applyFill="1" applyBorder="1" applyAlignment="1">
      <alignment horizontal="center" vertical="center"/>
    </xf>
    <xf numFmtId="3" fontId="17" fillId="0" borderId="5" xfId="18" applyNumberFormat="1" applyFont="1" applyFill="1" applyBorder="1" applyAlignment="1">
      <alignment horizontal="center" vertical="center"/>
    </xf>
    <xf numFmtId="164" fontId="17" fillId="0" borderId="0" xfId="18" applyNumberFormat="1" applyFont="1" applyFill="1" applyBorder="1" applyAlignment="1" applyProtection="1">
      <alignment wrapText="1" shrinkToFit="1"/>
      <protection locked="0"/>
    </xf>
    <xf numFmtId="0" fontId="10" fillId="0" borderId="2" xfId="18" applyFont="1" applyFill="1" applyBorder="1" applyAlignment="1">
      <alignment horizontal="left" vertical="top" wrapText="1" indent="3" shrinkToFit="1"/>
    </xf>
    <xf numFmtId="3" fontId="10" fillId="0" borderId="5" xfId="18" applyNumberFormat="1" applyFont="1" applyFill="1" applyBorder="1" applyAlignment="1">
      <alignment horizontal="center" vertical="center"/>
    </xf>
    <xf numFmtId="3" fontId="17" fillId="0" borderId="5" xfId="18" applyNumberFormat="1" applyFont="1" applyFill="1" applyBorder="1" applyAlignment="1">
      <alignment horizontal="center" vertical="top"/>
    </xf>
    <xf numFmtId="0" fontId="10" fillId="0" borderId="2" xfId="18" applyFont="1" applyFill="1" applyBorder="1" applyAlignment="1">
      <alignment horizontal="left" vertical="top" wrapText="1" shrinkToFit="1"/>
    </xf>
    <xf numFmtId="164" fontId="17" fillId="0" borderId="1" xfId="18" applyNumberFormat="1" applyFont="1" applyFill="1" applyBorder="1" applyAlignment="1">
      <alignment horizontal="center" vertical="top"/>
    </xf>
    <xf numFmtId="164" fontId="17" fillId="0" borderId="5" xfId="18" applyNumberFormat="1" applyFont="1" applyFill="1" applyBorder="1" applyAlignment="1">
      <alignment horizontal="center" vertical="top"/>
    </xf>
    <xf numFmtId="0" fontId="10" fillId="0" borderId="0" xfId="18" applyFont="1" applyFill="1" applyBorder="1" applyAlignment="1">
      <alignment horizontal="left" vertical="top" wrapText="1" shrinkToFit="1"/>
    </xf>
    <xf numFmtId="0" fontId="10" fillId="0" borderId="0" xfId="18" applyFont="1" applyFill="1" applyBorder="1" applyAlignment="1">
      <alignment horizontal="left" vertical="top"/>
    </xf>
    <xf numFmtId="0" fontId="22" fillId="0" borderId="0" xfId="18" applyFont="1" applyFill="1" applyBorder="1" applyAlignment="1">
      <alignment wrapText="1" shrinkToFit="1"/>
    </xf>
    <xf numFmtId="0" fontId="17" fillId="3" borderId="4" xfId="18" applyFont="1" applyFill="1" applyBorder="1" applyAlignment="1">
      <alignment horizontal="center" vertical="center"/>
    </xf>
    <xf numFmtId="164" fontId="17" fillId="3" borderId="3" xfId="18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Alignment="1">
      <alignment vertical="center" wrapText="1" shrinkToFit="1"/>
    </xf>
    <xf numFmtId="0" fontId="17" fillId="3" borderId="1" xfId="18" applyFont="1" applyFill="1" applyBorder="1" applyAlignment="1">
      <alignment horizontal="right" vertical="center"/>
    </xf>
    <xf numFmtId="3" fontId="10" fillId="3" borderId="1" xfId="18" applyNumberFormat="1" applyFont="1" applyFill="1" applyBorder="1" applyAlignment="1">
      <alignment horizontal="center" vertical="center"/>
    </xf>
    <xf numFmtId="0" fontId="17" fillId="3" borderId="1" xfId="18" applyFont="1" applyFill="1" applyBorder="1" applyAlignment="1">
      <alignment horizontal="center" vertical="center"/>
    </xf>
    <xf numFmtId="164" fontId="10" fillId="0" borderId="1" xfId="15" applyNumberFormat="1" applyFont="1" applyBorder="1" applyAlignment="1">
      <alignment vertical="center" wrapText="1" shrinkToFi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7" fillId="0" borderId="0" xfId="19" applyFont="1" applyFill="1" applyBorder="1" applyAlignment="1">
      <alignment horizontal="left" wrapText="1" shrinkToFit="1"/>
    </xf>
    <xf numFmtId="0" fontId="10" fillId="0" borderId="0" xfId="19" applyFont="1" applyFill="1" applyBorder="1" applyAlignment="1">
      <alignment wrapText="1" shrinkToFit="1"/>
    </xf>
    <xf numFmtId="3" fontId="10" fillId="0" borderId="0" xfId="19" applyNumberFormat="1" applyFont="1" applyFill="1" applyBorder="1" applyAlignment="1">
      <alignment wrapText="1" shrinkToFit="1"/>
    </xf>
    <xf numFmtId="0" fontId="17" fillId="3" borderId="1" xfId="19" applyFont="1" applyFill="1" applyBorder="1" applyAlignment="1">
      <alignment horizontal="center" vertical="center"/>
    </xf>
    <xf numFmtId="0" fontId="17" fillId="3" borderId="4" xfId="19" applyFont="1" applyFill="1" applyBorder="1" applyAlignment="1">
      <alignment horizontal="center" vertical="center"/>
    </xf>
    <xf numFmtId="164" fontId="17" fillId="3" borderId="1" xfId="19" applyNumberFormat="1" applyFont="1" applyFill="1" applyBorder="1" applyAlignment="1">
      <alignment horizontal="center" vertical="center"/>
    </xf>
    <xf numFmtId="0" fontId="17" fillId="3" borderId="5" xfId="19" applyFont="1" applyFill="1" applyBorder="1" applyAlignment="1">
      <alignment horizontal="center" vertical="center"/>
    </xf>
    <xf numFmtId="3" fontId="10" fillId="3" borderId="1" xfId="19" applyNumberFormat="1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left" vertical="top" wrapText="1" shrinkToFit="1"/>
    </xf>
    <xf numFmtId="3" fontId="17" fillId="0" borderId="1" xfId="19" applyNumberFormat="1" applyFont="1" applyFill="1" applyBorder="1" applyAlignment="1">
      <alignment horizontal="center" vertical="center"/>
    </xf>
    <xf numFmtId="3" fontId="17" fillId="0" borderId="5" xfId="19" applyNumberFormat="1" applyFont="1" applyFill="1" applyBorder="1" applyAlignment="1">
      <alignment horizontal="center" vertical="center"/>
    </xf>
    <xf numFmtId="164" fontId="17" fillId="0" borderId="0" xfId="19" applyNumberFormat="1" applyFont="1" applyFill="1" applyBorder="1" applyAlignment="1" applyProtection="1">
      <alignment wrapText="1" shrinkToFit="1"/>
      <protection locked="0"/>
    </xf>
    <xf numFmtId="0" fontId="17" fillId="0" borderId="0" xfId="19" applyFont="1" applyFill="1" applyBorder="1" applyAlignment="1">
      <alignment wrapText="1" shrinkToFit="1"/>
    </xf>
    <xf numFmtId="0" fontId="10" fillId="0" borderId="2" xfId="19" applyFont="1" applyFill="1" applyBorder="1" applyAlignment="1">
      <alignment horizontal="left" vertical="top" wrapText="1" indent="1" shrinkToFit="1"/>
    </xf>
    <xf numFmtId="3" fontId="10" fillId="0" borderId="5" xfId="19" applyNumberFormat="1" applyFont="1" applyFill="1" applyBorder="1" applyAlignment="1">
      <alignment horizontal="center" vertical="center"/>
    </xf>
    <xf numFmtId="3" fontId="10" fillId="0" borderId="1" xfId="19" applyNumberFormat="1" applyFont="1" applyFill="1" applyBorder="1" applyAlignment="1">
      <alignment horizontal="center" vertical="center"/>
    </xf>
    <xf numFmtId="0" fontId="10" fillId="0" borderId="0" xfId="19" applyFont="1" applyFill="1" applyBorder="1" applyAlignment="1">
      <alignment horizontal="left" vertical="top" wrapText="1" shrinkToFit="1"/>
    </xf>
    <xf numFmtId="0" fontId="10" fillId="0" borderId="0" xfId="19" applyFont="1" applyFill="1" applyBorder="1" applyAlignment="1">
      <alignment horizontal="left" vertical="top"/>
    </xf>
    <xf numFmtId="0" fontId="18" fillId="0" borderId="6" xfId="19" applyFont="1" applyFill="1" applyBorder="1" applyAlignment="1">
      <alignment wrapText="1" shrinkToFit="1"/>
    </xf>
    <xf numFmtId="0" fontId="10" fillId="0" borderId="6" xfId="19" applyFont="1" applyFill="1" applyBorder="1" applyAlignment="1">
      <alignment wrapText="1" shrinkToFit="1"/>
    </xf>
    <xf numFmtId="4" fontId="10" fillId="0" borderId="6" xfId="19" applyNumberFormat="1" applyFont="1" applyFill="1" applyBorder="1" applyAlignment="1">
      <alignment wrapText="1" shrinkToFit="1"/>
    </xf>
    <xf numFmtId="3" fontId="10" fillId="0" borderId="6" xfId="19" applyNumberFormat="1" applyFont="1" applyFill="1" applyBorder="1" applyAlignment="1">
      <alignment wrapText="1" shrinkToFit="1"/>
    </xf>
    <xf numFmtId="0" fontId="17" fillId="0" borderId="0" xfId="0" applyFont="1" applyAlignment="1">
      <alignment horizont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7" fillId="5" borderId="1" xfId="0" applyFont="1" applyFill="1" applyBorder="1"/>
    <xf numFmtId="3" fontId="17" fillId="5" borderId="1" xfId="0" applyNumberFormat="1" applyFont="1" applyFill="1" applyBorder="1"/>
    <xf numFmtId="3" fontId="10" fillId="7" borderId="1" xfId="0" applyNumberFormat="1" applyFont="1" applyFill="1" applyBorder="1"/>
    <xf numFmtId="3" fontId="10" fillId="0" borderId="1" xfId="0" applyNumberFormat="1" applyFont="1" applyFill="1" applyBorder="1"/>
    <xf numFmtId="0" fontId="10" fillId="0" borderId="0" xfId="0" applyFont="1" applyAlignment="1">
      <alignment horizontal="center"/>
    </xf>
    <xf numFmtId="0" fontId="18" fillId="0" borderId="0" xfId="0" applyFont="1"/>
    <xf numFmtId="0" fontId="22" fillId="0" borderId="0" xfId="0" applyFont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left" vertical="center" wrapText="1" shrinkToFit="1"/>
    </xf>
    <xf numFmtId="3" fontId="10" fillId="0" borderId="1" xfId="0" applyNumberFormat="1" applyFont="1" applyBorder="1"/>
    <xf numFmtId="3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left" vertical="center" wrapText="1" shrinkToFit="1"/>
    </xf>
    <xf numFmtId="9" fontId="17" fillId="0" borderId="0" xfId="0" applyNumberFormat="1" applyFont="1"/>
    <xf numFmtId="3" fontId="17" fillId="6" borderId="1" xfId="0" applyNumberFormat="1" applyFont="1" applyFill="1" applyBorder="1"/>
    <xf numFmtId="9" fontId="10" fillId="0" borderId="1" xfId="0" applyNumberFormat="1" applyFont="1" applyFill="1" applyBorder="1"/>
    <xf numFmtId="0" fontId="10" fillId="0" borderId="0" xfId="0" applyFont="1" applyBorder="1"/>
    <xf numFmtId="3" fontId="10" fillId="0" borderId="0" xfId="0" applyNumberFormat="1" applyFont="1" applyBorder="1"/>
    <xf numFmtId="9" fontId="10" fillId="0" borderId="0" xfId="0" applyNumberFormat="1" applyFont="1" applyBorder="1"/>
    <xf numFmtId="168" fontId="10" fillId="0" borderId="0" xfId="0" applyNumberFormat="1" applyFont="1" applyBorder="1"/>
    <xf numFmtId="1" fontId="10" fillId="0" borderId="1" xfId="0" applyNumberFormat="1" applyFont="1" applyFill="1" applyBorder="1"/>
    <xf numFmtId="0" fontId="22" fillId="0" borderId="0" xfId="0" applyFont="1" applyAlignment="1"/>
    <xf numFmtId="0" fontId="10" fillId="0" borderId="1" xfId="0" applyFont="1" applyBorder="1" applyAlignment="1">
      <alignment wrapText="1"/>
    </xf>
    <xf numFmtId="3" fontId="17" fillId="3" borderId="1" xfId="0" applyNumberFormat="1" applyFont="1" applyFill="1" applyBorder="1"/>
    <xf numFmtId="169" fontId="10" fillId="0" borderId="0" xfId="0" applyNumberFormat="1" applyFont="1"/>
    <xf numFmtId="165" fontId="10" fillId="2" borderId="1" xfId="20" applyNumberFormat="1" applyFont="1" applyFill="1" applyBorder="1"/>
    <xf numFmtId="169" fontId="10" fillId="0" borderId="1" xfId="0" applyNumberFormat="1" applyFont="1" applyBorder="1"/>
    <xf numFmtId="201" fontId="10" fillId="0" borderId="0" xfId="0" applyNumberFormat="1" applyFont="1"/>
    <xf numFmtId="165" fontId="10" fillId="0" borderId="1" xfId="20" applyNumberFormat="1" applyFont="1" applyFill="1" applyBorder="1"/>
    <xf numFmtId="3" fontId="10" fillId="0" borderId="0" xfId="0" applyNumberFormat="1" applyFont="1" applyFill="1"/>
    <xf numFmtId="9" fontId="10" fillId="0" borderId="1" xfId="20" applyFont="1" applyFill="1" applyBorder="1"/>
    <xf numFmtId="186" fontId="10" fillId="0" borderId="1" xfId="24" applyNumberFormat="1" applyFont="1" applyBorder="1"/>
    <xf numFmtId="9" fontId="10" fillId="2" borderId="1" xfId="20" applyFont="1" applyFill="1" applyBorder="1"/>
    <xf numFmtId="0" fontId="10" fillId="0" borderId="2" xfId="0" applyFont="1" applyBorder="1"/>
    <xf numFmtId="0" fontId="17" fillId="3" borderId="5" xfId="0" applyFont="1" applyFill="1" applyBorder="1" applyAlignment="1">
      <alignment horizontal="center"/>
    </xf>
    <xf numFmtId="0" fontId="10" fillId="0" borderId="0" xfId="13" applyFont="1" applyFill="1" applyProtection="1">
      <protection locked="0"/>
    </xf>
    <xf numFmtId="0" fontId="17" fillId="0" borderId="0" xfId="13" applyFont="1" applyFill="1" applyProtection="1">
      <protection locked="0"/>
    </xf>
    <xf numFmtId="9" fontId="18" fillId="0" borderId="0" xfId="13" applyNumberFormat="1" applyFont="1" applyFill="1" applyProtection="1">
      <protection locked="0"/>
    </xf>
    <xf numFmtId="164" fontId="10" fillId="0" borderId="0" xfId="13" applyNumberFormat="1" applyFont="1" applyFill="1" applyProtection="1">
      <protection locked="0"/>
    </xf>
    <xf numFmtId="164" fontId="18" fillId="0" borderId="0" xfId="13" applyNumberFormat="1" applyFont="1" applyFill="1" applyProtection="1">
      <protection locked="0"/>
    </xf>
    <xf numFmtId="9" fontId="17" fillId="0" borderId="0" xfId="13" applyNumberFormat="1" applyFont="1" applyFill="1" applyProtection="1">
      <protection locked="0"/>
    </xf>
    <xf numFmtId="0" fontId="22" fillId="0" borderId="0" xfId="13" applyFont="1" applyFill="1" applyProtection="1">
      <protection locked="0"/>
    </xf>
    <xf numFmtId="0" fontId="17" fillId="0" borderId="1" xfId="13" applyFont="1" applyFill="1" applyBorder="1" applyProtection="1">
      <protection locked="0"/>
    </xf>
    <xf numFmtId="3" fontId="10" fillId="0" borderId="1" xfId="13" applyNumberFormat="1" applyFont="1" applyFill="1" applyBorder="1" applyAlignment="1" applyProtection="1">
      <alignment horizontal="center"/>
      <protection locked="0"/>
    </xf>
    <xf numFmtId="0" fontId="10" fillId="0" borderId="1" xfId="13" applyFont="1" applyFill="1" applyBorder="1" applyAlignment="1" applyProtection="1">
      <alignment vertical="top"/>
      <protection locked="0"/>
    </xf>
    <xf numFmtId="165" fontId="18" fillId="0" borderId="0" xfId="13" applyNumberFormat="1" applyFont="1" applyFill="1" applyProtection="1">
      <protection locked="0"/>
    </xf>
    <xf numFmtId="0" fontId="10" fillId="0" borderId="1" xfId="17" applyFont="1" applyFill="1" applyBorder="1" applyAlignment="1">
      <alignment horizontal="left" vertical="center" wrapText="1"/>
    </xf>
    <xf numFmtId="0" fontId="17" fillId="0" borderId="1" xfId="17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center" vertical="center"/>
    </xf>
    <xf numFmtId="0" fontId="10" fillId="0" borderId="0" xfId="13" applyFont="1" applyFill="1" applyAlignment="1" applyProtection="1">
      <alignment horizontal="center"/>
      <protection locked="0"/>
    </xf>
    <xf numFmtId="164" fontId="10" fillId="0" borderId="1" xfId="17" applyNumberFormat="1" applyFont="1" applyFill="1" applyBorder="1" applyAlignment="1">
      <alignment horizontal="right" vertical="center"/>
    </xf>
    <xf numFmtId="164" fontId="10" fillId="0" borderId="1" xfId="13" applyNumberFormat="1" applyFont="1" applyFill="1" applyBorder="1" applyAlignment="1" applyProtection="1">
      <protection locked="0"/>
    </xf>
    <xf numFmtId="164" fontId="17" fillId="0" borderId="1" xfId="13" applyNumberFormat="1" applyFont="1" applyFill="1" applyBorder="1" applyAlignment="1" applyProtection="1">
      <protection locked="0"/>
    </xf>
    <xf numFmtId="0" fontId="10" fillId="0" borderId="0" xfId="13" applyFont="1" applyFill="1" applyAlignment="1" applyProtection="1">
      <protection locked="0"/>
    </xf>
    <xf numFmtId="0" fontId="10" fillId="0" borderId="0" xfId="13" applyFont="1" applyFill="1" applyAlignment="1" applyProtection="1">
      <alignment vertical="center"/>
      <protection locked="0"/>
    </xf>
    <xf numFmtId="0" fontId="10" fillId="4" borderId="1" xfId="17" applyFont="1" applyFill="1" applyBorder="1" applyAlignment="1">
      <alignment horizontal="left" vertical="center" wrapText="1" indent="2"/>
    </xf>
    <xf numFmtId="164" fontId="10" fillId="8" borderId="1" xfId="13" applyNumberFormat="1" applyFont="1" applyFill="1" applyBorder="1" applyAlignment="1" applyProtection="1">
      <protection locked="0"/>
    </xf>
    <xf numFmtId="164" fontId="10" fillId="0" borderId="0" xfId="13" applyNumberFormat="1" applyFont="1" applyFill="1" applyAlignment="1" applyProtection="1">
      <protection locked="0"/>
    </xf>
    <xf numFmtId="164" fontId="28" fillId="0" borderId="0" xfId="13" applyNumberFormat="1" applyFont="1" applyFill="1" applyProtection="1">
      <protection locked="0"/>
    </xf>
    <xf numFmtId="3" fontId="10" fillId="0" borderId="0" xfId="0" applyNumberFormat="1" applyFont="1"/>
    <xf numFmtId="202" fontId="10" fillId="0" borderId="0" xfId="0" applyNumberFormat="1" applyFont="1"/>
    <xf numFmtId="0" fontId="17" fillId="3" borderId="1" xfId="0" applyFont="1" applyFill="1" applyBorder="1" applyAlignment="1">
      <alignment horizontal="center" vertical="center" wrapText="1" shrinkToFit="1"/>
    </xf>
    <xf numFmtId="1" fontId="10" fillId="3" borderId="5" xfId="18" applyNumberFormat="1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left"/>
    </xf>
    <xf numFmtId="3" fontId="17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3" fontId="17" fillId="0" borderId="0" xfId="0" applyNumberFormat="1" applyFont="1"/>
    <xf numFmtId="0" fontId="17" fillId="0" borderId="6" xfId="0" applyFont="1" applyBorder="1" applyAlignment="1">
      <alignment horizontal="center"/>
    </xf>
    <xf numFmtId="0" fontId="23" fillId="0" borderId="1" xfId="0" applyFont="1" applyBorder="1" applyAlignment="1">
      <alignment horizontal="justify" vertical="top" wrapText="1"/>
    </xf>
    <xf numFmtId="3" fontId="10" fillId="0" borderId="1" xfId="0" applyNumberFormat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179" fontId="23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justify" vertical="top" wrapText="1"/>
    </xf>
    <xf numFmtId="9" fontId="24" fillId="0" borderId="1" xfId="0" applyNumberFormat="1" applyFont="1" applyBorder="1" applyAlignment="1">
      <alignment horizontal="right" vertical="top" wrapText="1"/>
    </xf>
    <xf numFmtId="9" fontId="23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7" fillId="0" borderId="1" xfId="0" applyFont="1" applyFill="1" applyBorder="1" applyAlignment="1">
      <alignment horizontal="center"/>
    </xf>
    <xf numFmtId="0" fontId="17" fillId="9" borderId="1" xfId="0" applyFont="1" applyFill="1" applyBorder="1"/>
    <xf numFmtId="3" fontId="17" fillId="9" borderId="1" xfId="0" applyNumberFormat="1" applyFont="1" applyFill="1" applyBorder="1"/>
    <xf numFmtId="3" fontId="10" fillId="9" borderId="1" xfId="0" applyNumberFormat="1" applyFont="1" applyFill="1" applyBorder="1" applyAlignment="1">
      <alignment horizontal="center" wrapText="1" shrinkToFit="1"/>
    </xf>
    <xf numFmtId="0" fontId="10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right"/>
    </xf>
    <xf numFmtId="0" fontId="10" fillId="0" borderId="1" xfId="14" applyFont="1" applyBorder="1" applyAlignment="1">
      <alignment vertical="center"/>
    </xf>
    <xf numFmtId="3" fontId="10" fillId="0" borderId="1" xfId="14" applyNumberFormat="1" applyFont="1" applyFill="1" applyBorder="1" applyAlignment="1">
      <alignment horizontal="right" vertical="center"/>
    </xf>
    <xf numFmtId="0" fontId="17" fillId="0" borderId="1" xfId="14" applyFont="1" applyBorder="1" applyAlignment="1">
      <alignment vertical="center"/>
    </xf>
    <xf numFmtId="3" fontId="17" fillId="0" borderId="1" xfId="14" applyNumberFormat="1" applyFont="1" applyFill="1" applyBorder="1" applyAlignment="1">
      <alignment horizontal="right" vertical="center"/>
    </xf>
    <xf numFmtId="0" fontId="17" fillId="9" borderId="2" xfId="15" applyFont="1" applyFill="1" applyBorder="1" applyAlignment="1">
      <alignment vertical="center"/>
    </xf>
    <xf numFmtId="3" fontId="17" fillId="9" borderId="1" xfId="15" applyNumberFormat="1" applyFont="1" applyFill="1" applyBorder="1" applyAlignment="1">
      <alignment horizontal="center" vertical="center"/>
    </xf>
    <xf numFmtId="9" fontId="10" fillId="0" borderId="1" xfId="14" applyNumberFormat="1" applyFont="1" applyFill="1" applyBorder="1" applyAlignment="1">
      <alignment horizontal="right" vertical="center"/>
    </xf>
    <xf numFmtId="9" fontId="17" fillId="0" borderId="1" xfId="14" applyNumberFormat="1" applyFont="1" applyFill="1" applyBorder="1" applyAlignment="1">
      <alignment horizontal="right" vertical="center"/>
    </xf>
    <xf numFmtId="49" fontId="10" fillId="0" borderId="1" xfId="14" applyNumberFormat="1" applyFont="1" applyFill="1" applyBorder="1" applyAlignment="1">
      <alignment horizontal="right" vertical="center"/>
    </xf>
    <xf numFmtId="0" fontId="10" fillId="7" borderId="0" xfId="14" applyFont="1" applyFill="1"/>
    <xf numFmtId="169" fontId="10" fillId="0" borderId="1" xfId="14" applyNumberFormat="1" applyFont="1" applyFill="1" applyBorder="1" applyAlignment="1">
      <alignment horizontal="right" vertical="center"/>
    </xf>
    <xf numFmtId="0" fontId="17" fillId="0" borderId="0" xfId="14" applyFont="1" applyAlignment="1">
      <alignment vertical="center"/>
    </xf>
    <xf numFmtId="0" fontId="10" fillId="0" borderId="1" xfId="14" applyFont="1" applyBorder="1" applyAlignment="1">
      <alignment vertical="center" wrapText="1"/>
    </xf>
    <xf numFmtId="9" fontId="10" fillId="9" borderId="1" xfId="14" applyNumberFormat="1" applyFont="1" applyFill="1" applyBorder="1" applyAlignment="1">
      <alignment horizontal="right" vertical="center"/>
    </xf>
    <xf numFmtId="3" fontId="10" fillId="9" borderId="1" xfId="14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/>
    </xf>
    <xf numFmtId="168" fontId="10" fillId="0" borderId="1" xfId="14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center"/>
    </xf>
    <xf numFmtId="0" fontId="10" fillId="9" borderId="1" xfId="0" applyFont="1" applyFill="1" applyBorder="1"/>
    <xf numFmtId="0" fontId="10" fillId="9" borderId="1" xfId="14" applyFont="1" applyFill="1" applyBorder="1" applyAlignment="1">
      <alignment vertical="center"/>
    </xf>
    <xf numFmtId="3" fontId="17" fillId="9" borderId="1" xfId="15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/>
    <xf numFmtId="169" fontId="10" fillId="7" borderId="1" xfId="0" applyNumberFormat="1" applyFont="1" applyFill="1" applyBorder="1"/>
    <xf numFmtId="164" fontId="28" fillId="0" borderId="0" xfId="18" applyNumberFormat="1" applyFont="1" applyFill="1" applyBorder="1" applyAlignment="1">
      <alignment horizontal="center" wrapText="1" shrinkToFit="1"/>
    </xf>
    <xf numFmtId="9" fontId="10" fillId="7" borderId="1" xfId="0" applyNumberFormat="1" applyFont="1" applyFill="1" applyBorder="1"/>
    <xf numFmtId="3" fontId="25" fillId="0" borderId="0" xfId="0" applyNumberFormat="1" applyFont="1"/>
    <xf numFmtId="0" fontId="10" fillId="0" borderId="0" xfId="0" applyFont="1" applyAlignment="1">
      <alignment wrapText="1"/>
    </xf>
    <xf numFmtId="0" fontId="17" fillId="0" borderId="4" xfId="18" applyFont="1" applyFill="1" applyBorder="1" applyAlignment="1">
      <alignment horizontal="center" vertical="center" wrapText="1"/>
    </xf>
    <xf numFmtId="0" fontId="17" fillId="0" borderId="5" xfId="18" applyFont="1" applyFill="1" applyBorder="1" applyAlignment="1">
      <alignment horizontal="center" vertical="center" wrapText="1"/>
    </xf>
    <xf numFmtId="0" fontId="17" fillId="0" borderId="1" xfId="18" applyFont="1" applyFill="1" applyBorder="1" applyAlignment="1">
      <alignment horizontal="center" vertical="center" wrapText="1"/>
    </xf>
    <xf numFmtId="164" fontId="17" fillId="3" borderId="7" xfId="18" applyNumberFormat="1" applyFont="1" applyFill="1" applyBorder="1" applyAlignment="1">
      <alignment horizontal="center" vertical="center"/>
    </xf>
    <xf numFmtId="0" fontId="17" fillId="3" borderId="7" xfId="18" applyFont="1" applyFill="1" applyBorder="1" applyAlignment="1">
      <alignment horizontal="center" vertical="center"/>
    </xf>
    <xf numFmtId="0" fontId="17" fillId="3" borderId="3" xfId="18" applyFont="1" applyFill="1" applyBorder="1" applyAlignment="1">
      <alignment horizontal="center" vertical="center"/>
    </xf>
    <xf numFmtId="164" fontId="17" fillId="3" borderId="1" xfId="18" applyNumberFormat="1" applyFont="1" applyFill="1" applyBorder="1" applyAlignment="1">
      <alignment horizontal="center" vertical="center" wrapText="1" shrinkToFit="1"/>
    </xf>
    <xf numFmtId="0" fontId="17" fillId="3" borderId="8" xfId="18" applyFont="1" applyFill="1" applyBorder="1" applyAlignment="1">
      <alignment horizontal="center" vertical="center" wrapText="1" shrinkToFit="1"/>
    </xf>
    <xf numFmtId="0" fontId="17" fillId="3" borderId="9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 wrapText="1" shrinkToFit="1"/>
    </xf>
    <xf numFmtId="0" fontId="17" fillId="3" borderId="5" xfId="18" applyFont="1" applyFill="1" applyBorder="1" applyAlignment="1">
      <alignment horizontal="center" vertical="center" wrapText="1" shrinkToFit="1"/>
    </xf>
    <xf numFmtId="0" fontId="17" fillId="3" borderId="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/>
    </xf>
    <xf numFmtId="0" fontId="17" fillId="3" borderId="5" xfId="18" applyFont="1" applyFill="1" applyBorder="1" applyAlignment="1">
      <alignment horizontal="center" vertical="center"/>
    </xf>
    <xf numFmtId="0" fontId="17" fillId="3" borderId="8" xfId="19" applyFont="1" applyFill="1" applyBorder="1" applyAlignment="1">
      <alignment horizontal="center" vertical="center" wrapText="1" shrinkToFit="1"/>
    </xf>
    <xf numFmtId="0" fontId="17" fillId="3" borderId="9" xfId="19" applyFont="1" applyFill="1" applyBorder="1" applyAlignment="1">
      <alignment horizontal="center" vertical="center" wrapText="1" shrinkToFit="1"/>
    </xf>
    <xf numFmtId="0" fontId="17" fillId="3" borderId="1" xfId="19" applyFont="1" applyFill="1" applyBorder="1" applyAlignment="1">
      <alignment horizontal="center" vertical="center"/>
    </xf>
    <xf numFmtId="164" fontId="17" fillId="3" borderId="1" xfId="19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19" applyFont="1" applyFill="1" applyBorder="1" applyAlignment="1">
      <alignment horizontal="center" vertical="center" wrapText="1"/>
    </xf>
    <xf numFmtId="164" fontId="17" fillId="3" borderId="2" xfId="18" applyNumberFormat="1" applyFont="1" applyFill="1" applyBorder="1" applyAlignment="1">
      <alignment horizontal="center" vertical="center" wrapText="1" shrinkToFit="1"/>
    </xf>
    <xf numFmtId="164" fontId="17" fillId="3" borderId="7" xfId="18" applyNumberFormat="1" applyFont="1" applyFill="1" applyBorder="1" applyAlignment="1">
      <alignment horizontal="center" vertical="center" wrapText="1" shrinkToFit="1"/>
    </xf>
    <xf numFmtId="164" fontId="17" fillId="3" borderId="3" xfId="18" applyNumberFormat="1" applyFont="1" applyFill="1" applyBorder="1" applyAlignment="1">
      <alignment horizontal="center" vertical="center" wrapText="1" shrinkToFit="1"/>
    </xf>
    <xf numFmtId="3" fontId="10" fillId="0" borderId="2" xfId="14" applyNumberFormat="1" applyFont="1" applyFill="1" applyBorder="1" applyAlignment="1">
      <alignment horizontal="center" vertical="center"/>
    </xf>
    <xf numFmtId="3" fontId="10" fillId="0" borderId="7" xfId="14" applyNumberFormat="1" applyFont="1" applyFill="1" applyBorder="1" applyAlignment="1">
      <alignment horizontal="center" vertical="center"/>
    </xf>
    <xf numFmtId="3" fontId="10" fillId="0" borderId="3" xfId="14" applyNumberFormat="1" applyFont="1" applyFill="1" applyBorder="1" applyAlignment="1">
      <alignment horizontal="center" vertical="center"/>
    </xf>
    <xf numFmtId="0" fontId="17" fillId="9" borderId="4" xfId="15" applyFont="1" applyFill="1" applyBorder="1" applyAlignment="1">
      <alignment horizontal="left" vertical="center"/>
    </xf>
    <xf numFmtId="0" fontId="17" fillId="9" borderId="5" xfId="15" applyFont="1" applyFill="1" applyBorder="1" applyAlignment="1">
      <alignment horizontal="left" vertical="center"/>
    </xf>
    <xf numFmtId="3" fontId="17" fillId="9" borderId="1" xfId="15" applyNumberFormat="1" applyFont="1" applyFill="1" applyBorder="1" applyAlignment="1">
      <alignment horizontal="center" vertical="center"/>
    </xf>
  </cellXfs>
  <cellStyles count="30">
    <cellStyle name="_Бюджет_2007_3_22,12,06 вар.после набл.совета" xfId="1"/>
    <cellStyle name="Euro" xfId="2"/>
    <cellStyle name="Flag" xfId="3"/>
    <cellStyle name="Milliers [0]_JULY97" xfId="4"/>
    <cellStyle name="Milliers_JULY97" xfId="5"/>
    <cellStyle name="Monétaire [0]_JULY97" xfId="6"/>
    <cellStyle name="Monétaire_JULY97" xfId="7"/>
    <cellStyle name="Normal_Assump." xfId="8"/>
    <cellStyle name="Option" xfId="9"/>
    <cellStyle name="Price" xfId="10"/>
    <cellStyle name="Unit" xfId="11"/>
    <cellStyle name="Обычный" xfId="0" builtinId="0"/>
    <cellStyle name="Обычный_Алтын-ОрдаНовыйБП" xfId="12"/>
    <cellStyle name="Обычный_Алтын-ОрдаНовыйБП 2" xfId="13"/>
    <cellStyle name="Обычный_БП кир завод 3.3  (40 млн. +20 забут реал на 18.07.06 для АФ увел курс)" xfId="14"/>
    <cellStyle name="Обычный_Копия cityrus4-18 лет СМР 52 млн $" xfId="15"/>
    <cellStyle name="Обычный_НовыйМир" xfId="16"/>
    <cellStyle name="Обычный_ПереченьКЗ" xfId="17"/>
    <cellStyle name="Обычный_Формы отчетов" xfId="18"/>
    <cellStyle name="Обычный_Формы отчетов 2" xfId="19"/>
    <cellStyle name="Процентный" xfId="20" builtinId="5"/>
    <cellStyle name="Процентный 2" xfId="21"/>
    <cellStyle name="Стиль 1" xfId="22"/>
    <cellStyle name="Тысячи [0]" xfId="23"/>
    <cellStyle name="Финансовый" xfId="24" builtinId="3"/>
    <cellStyle name="桁区切り [0.00]_PERSONAL" xfId="25"/>
    <cellStyle name="桁区切り_PERSONAL" xfId="26"/>
    <cellStyle name="標準_PERSONAL" xfId="27"/>
    <cellStyle name="通貨 [0.00]_PERSONAL" xfId="28"/>
    <cellStyle name="通貨_PERSONAL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externalLink" Target="externalLinks/externalLink5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61" Type="http://schemas.openxmlformats.org/officeDocument/2006/relationships/externalLink" Target="externalLinks/externalLink4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74;&#1089;&#1103;&#1082;&#1080;&#1081;%20&#1073;&#1091;&#1090;&#1086;&#1088;\SYS\98WIN\TEMP\&#1055;&#1088;&#1080;&#1083;&#1086;&#1078;&#1077;&#1085;&#1080;&#1077;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shpan_zh\temp\ERLAN\Zakluchenia\&#1047;&#1077;&#1088;&#1085;&#1086;&#1074;&#1072;&#1103;_&#1051;&#1050;\Proj_&#1047;&#1051;&#1050;_&#1087;&#1096;&#1077;&#1085;&#1080;&#1094;&#1072;_50%25_&#1083;&#1080;&#1079;_&#1087;&#1083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smanov\&#1052;&#1086;&#1080;%20&#1076;&#1086;&#1082;&#1091;&#1084;&#1077;&#1085;&#1090;&#1099;\Documents%20and%20Settings\kusmanov\Desktop\&#1069;&#1082;&#1086;&#1090;&#1086;&#1085;+_&#1040;&#1082;&#1090;&#1102;&#1073;&#1080;&#1085;&#1089;&#108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&#1052;&#1051;&#1044;&#1050;%20&#1060;3+&#1060;2%20&#1073;&#1077;&#1079;%20&#1048;&#1060;&#10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&#1052;&#1086;&#1080;%20&#1076;&#1086;&#1082;&#1091;&#1084;&#1077;&#1085;&#1090;&#1099;/&#1055;&#1056;&#1054;&#1045;&#1050;&#1058;&#1067;/&#1055;&#1088;&#1086;&#1095;&#1080;&#1077;%20&#1087;&#1088;&#1086;&#1077;&#1082;&#1090;&#1099;/&#1050;&#1072;&#1092;&#1077;/&#1058;&#1069;&#1054;%2010.09.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&#1052;&#1086;&#1080;%20&#1076;&#1086;&#1082;&#1091;&#1084;&#1077;&#1085;&#1090;&#1099;/&#1055;&#1056;&#1054;&#1045;&#1050;&#1058;&#1067;/&#1041;&#1055;%20&#1070;&#1076;&#1072;&#1096;&#1082;&#1080;&#1085;/&#1052;&#1051;&#1044;&#1050;%20&#1060;3+&#1060;2%20&#1073;&#1077;&#1079;%20&#1048;&#1060;&#10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&#1052;&#1086;&#1080;%20&#1076;&#1086;&#1082;&#1091;&#1084;&#1077;&#1085;&#1090;&#1099;/&#1055;&#1056;&#1054;&#1045;&#1050;&#1058;&#1067;/&#1041;&#1055;%20&#1070;&#1076;&#1072;&#1096;&#1082;&#1080;&#1085;/&#1070;&#1076;&#1072;&#1096;&#1082;&#1080;&#1085;%20&#1075;&#1086;&#1090;&#1086;&#1074;&#1099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Documents%20and%20Settings/q/&#1056;&#1072;&#1073;&#1086;&#1095;&#1080;&#1081;%20&#1089;&#1090;&#1086;&#1083;/&#1056;&#1040;&#1057;&#1063;&#1045;&#1058;&#106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&#1052;&#1086;&#1080;%20&#1076;&#1086;&#1082;&#1091;&#1084;&#1077;&#1085;&#1090;&#1099;/&#1052;&#1051;&#1044;&#1050;/&#1056;&#1072;&#1089;&#1095;&#1077;&#1090;&#1099;/&#1056;&#1072;&#1089;&#1095;&#1077;&#1090;%20&#1087;&#1086;%20&#1082;&#1088;&#1077;&#1076;&#1080;&#1090;&#1072;&#1084;%20&#1040;&#1060;/&#1043;&#1088;&#1072;&#1092;&#1080;&#1082;&#1080;%20&#1086;&#1090;%20&#1040;&#1060;/&#1057;&#1074;&#1086;&#1076;_&#1043;&#1088;&#1072;&#1092;&#1080;&#1082;&#1080;%20&#1087;&#1086;%20ICCM_&#1074;&#1077;&#1088;&#1089;&#1080;&#1103;%20&#1040;&#106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Documents%20and%20Settings/b_altynbai/&#1052;&#1086;&#1080;%20&#1076;&#1086;&#1082;&#1091;&#1084;&#1077;&#1085;&#1090;&#1099;/&#1052;&#1086;&#1080;%20&#1087;&#1088;&#1086;&#1077;&#1082;&#1090;&#1099;/&#1060;&#1072;&#1088;&#1084;%20&#1043;&#1083;&#1072;&#1089;&#1089;/+&#1058;&#1041;&#1054;-&#1040;&#1082;&#1090;&#1086;&#1073;&#1077;_board/&#1047;&#1072;&#1082;&#1083;&#1102;&#1095;&#1077;&#1085;&#1080;&#1077;/&#1041;&#1055;%20&#1058;&#1041;&#1054;%20&#1040;&#1082;&#1090;&#1086;&#1073;&#107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monitoring\Shared\&#1050;&#1086;&#1087;&#1080;&#1103;%20&#1056;&#1077;&#1085;&#1090;&#1072;&#1073;&#1077;&#1083;&#1100;&#1085;&#1086;&#1089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Documents%20and%20Settings/G_Ibraeva/&#1056;&#1072;&#1073;&#1086;&#1095;&#1080;&#1081;%20&#1089;&#1090;&#1086;&#1083;/DOCUME~1/AHMETO~1/LOCALS~1/Temp/Rar$DI00.531/&#1041;&#1102;&#1076;&#1078;&#1077;&#1090;&#1055;&#1088;&#1086;&#1076;&#1072;&#1078;&#1042;&#1085;&#1077;&#1096;&#1085;&#1080;&#108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DOCUME~1/I_FROL~1/LOCALS~1/Temp/bat/ENKI/&#1053;&#1077;&#1088;&#1091;&#1076;%20&#1084;&#1086;&#1080;%20&#1088;&#1072;&#1089;&#1095;&#1105;&#1090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DOCUME~1/G_SVEC~1/LOCALS~1/Temp/bat/6A75EE9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&#1052;&#1086;&#1080;%20&#1076;&#1086;&#1082;&#1091;&#1084;&#1077;&#1085;&#1090;&#1099;/&#1055;&#1088;&#1086;&#1077;&#1082;&#1090;&#1099;/&#1053;&#1077;&#1088;&#1091;&#1076;-&#1050;&#1086;&#1096;&#1077;&#1090;&#1072;&#1091;/&#1053;&#1077;&#1088;&#1091;&#1076;/&#1050;&#1086;&#1088;&#1088;&#1077;&#1082;&#1090;&#1080;&#1088;&#1086;&#1074;&#1082;&#1072;%202-&#1086;&#1077;%20&#1087;&#1086;&#1083;&#1091;&#1075;&#1086;&#1076;&#1080;&#1077;%202007%20&#1075;/&#1041;&#1102;&#1076;&#1078;&#1077;&#1090;%20&#1085;&#1072;%202-%20&#1086;&#1077;%20&#1087;&#1086;&#1083;&#1091;&#1075;&#1086;&#1076;&#1080;&#1077;%202007%20&#1075;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tes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DOCUME~1/G_SVEC~1/LOCALS~1/Temp/bat/15E674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Documents%20and%20Settings/&#1040;&#1076;&#1084;&#1080;&#1085;&#1080;&#1089;&#1090;&#1088;&#1072;&#1090;&#1086;&#1088;/&#1056;&#1072;&#1073;&#1086;&#1095;&#1080;&#1081;%20&#1089;&#1090;&#1086;&#1083;/&#1041;&#1055;/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&#1052;&#1086;&#1080;%20&#1076;&#1086;&#1082;&#1091;&#1084;&#1077;&#1085;&#1090;&#1099;/&#1055;&#1088;&#1086;&#1077;&#1082;&#1090;&#1099;/&#1050;&#1080;&#1088;&#1087;&#1080;&#1095;/&#1041;&#1080;&#1079;&#1085;&#1077;&#1089;-&#1087;&#1083;&#1072;&#1085;/&#1041;&#1055;%20&#1082;&#1080;&#1088;%20&#1079;&#1072;&#1074;&#1086;&#1076;%204%20%20(14.01.08)%20&#1087;&#1077;&#1089;&#1089;&#1080;&#108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_altynbai/&#1052;&#1086;&#1080;%20&#1076;&#1086;&#1082;&#1091;&#1084;&#1077;&#1085;&#1090;&#1099;/&#1052;&#1086;&#1080;%20&#1087;&#1088;&#1086;&#1077;&#1082;&#1090;&#1099;/&#1060;&#1072;&#1088;&#1084;%20&#1043;&#1083;&#1072;&#1089;&#1089;/+&#1058;&#1041;&#1054;-&#1040;&#1082;&#1090;&#1086;&#1073;&#1077;_board/&#1047;&#1072;&#1082;&#1083;&#1102;&#1095;&#1077;&#1085;&#1080;&#1077;/&#1041;&#1055;%20&#1058;&#1041;&#1054;%20&#1040;&#1082;&#1090;&#1086;&#1073;&#107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1;&#1044;&#1050;/&#1056;&#1072;&#1089;&#1095;&#1077;&#1090;&#1099;/&#1056;&#1072;&#1089;&#1095;&#1077;&#1090;%20&#1087;&#1086;%20&#1082;&#1088;&#1077;&#1076;&#1080;&#1090;&#1072;&#1084;%20&#1040;&#1060;/&#1043;&#1088;&#1072;&#1092;&#1080;&#1082;&#1080;%20&#1086;&#1090;%20&#1040;&#1060;/&#1057;&#1074;&#1086;&#1076;_&#1043;&#1088;&#1072;&#1092;&#1080;&#1082;&#1080;%20&#1087;&#1086;%20ICCM_&#1074;&#1077;&#1088;&#1089;&#1080;&#1103;%20&#1040;&#10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_Ibraeva/&#1056;&#1072;&#1073;&#1086;&#1095;&#1080;&#1081;%20&#1089;&#1090;&#1086;&#1083;/DOCUME~1/AHMETO~1/LOCALS~1/Temp/Rar$DI00.531/&#1041;&#1102;&#1076;&#1078;&#1077;&#1090;&#1055;&#1088;&#1086;&#1076;&#1072;&#1078;&#1042;&#1085;&#1077;&#1096;&#1085;&#1080;&#108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40;&#1085;&#1092;&#1080;&#1085;&#1086;&#1075;&#1077;&#1085;&#1086;&#1074;/&#1056;&#1072;&#1089;&#1095;&#1077;&#1090;&#1099;,%20&#1041;&#1055;/&#1052;&#1080;&#1085;&#1080;&#1084;&#1072;&#1088;&#1082;&#1077;&#1090;%20&#1085;&#1072;%205%20&#1084;&#1083;&#1085;/&#1052;&#1051;&#1044;&#1050;%20&#1060;3+&#1060;2%20&#1073;&#1077;&#1079;%20&#1048;&#1060;&#105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_SVEC~1/LOCALS~1/Temp/bat/6A75EE9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86;&#1077;&#1082;&#1090;&#1099;/&#1053;&#1077;&#1088;&#1091;&#1076;-&#1050;&#1086;&#1096;&#1077;&#1090;&#1072;&#1091;/&#1053;&#1077;&#1088;&#1091;&#1076;/&#1050;&#1086;&#1088;&#1088;&#1077;&#1082;&#1090;&#1080;&#1088;&#1086;&#1074;&#1082;&#1072;%202-&#1086;&#1077;%20&#1087;&#1086;&#1083;&#1091;&#1075;&#1086;&#1076;&#1080;&#1077;%202007%20&#1075;/&#1041;&#1102;&#1076;&#1078;&#1077;&#1090;%20&#1085;&#1072;%202-%20&#1086;&#1077;%20&#1087;&#1086;&#1083;&#1091;&#1075;&#1086;&#1076;&#1080;&#1077;%202007%20&#1075;.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4;%20&#1060;&#1056;&#1052;&#1055;/&#1088;&#1072;&#1089;&#1095;&#1077;&#1090;%20&#1080;&#1079;&#1084;&#1077;&#1085;&#1077;&#1085;&#1080;&#1081;%20&#1074;%20&#1076;&#1086;&#1075;%20&#1060;&#1051;1_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WINDOWS\TEMP\Rar$DI01.712\&#1069;&#1082;&#1086;&#1090;&#1086;&#1085;%2011.03.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40;&#1085;&#1092;&#1080;&#1085;&#1086;&#1075;&#1077;&#1085;&#1086;&#1074;/&#1056;&#1072;&#1089;&#1095;&#1077;&#1090;&#1099;,%20&#1041;&#1055;/&#1052;&#1080;&#1085;&#1080;&#1084;&#1072;&#1088;&#1082;&#1077;&#1090;%20&#1085;&#1072;%205%20&#1084;&#1083;&#1085;/&#1056;&#1072;&#1089;&#1095;&#1077;&#1090;%20&#1087;&#1086;%20&#1084;&#1080;&#1085;&#1080;&#1084;&#1072;&#1088;&#1082;&#1077;&#1090;&#1091;%2011,5%2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_FROL~1/LOCALS~1/Temp/bat/ENKI/&#1053;&#1077;&#1088;&#1091;&#1076;%20&#1084;&#1086;&#1080;%20&#1088;&#1072;&#1089;&#1095;&#1105;&#1090;&#109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_SVEC~1/LOCALS~1/Temp/bat/15E674E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&#1041;&#1055;/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86;&#1077;&#1082;&#1090;&#1099;/&#1050;&#1080;&#1088;&#1087;&#1080;&#1095;/&#1041;&#1080;&#1079;&#1085;&#1077;&#1089;-&#1087;&#1083;&#1072;&#1085;/&#1041;&#1055;%20&#1082;&#1080;&#1088;%20&#1079;&#1072;&#1074;&#1086;&#1076;%204%20%20(14.01.08)%20&#1087;&#1077;&#1089;&#1089;&#1080;&#1084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nts%20and%20Settings/b_altynbai/&#1052;&#1086;&#1080;%20&#1076;&#1086;&#1082;&#1091;&#1084;&#1077;&#1085;&#1090;&#1099;/&#1052;&#1086;&#1080;%20&#1087;&#1088;&#1086;&#1077;&#1082;&#1090;&#1099;/&#1060;&#1072;&#1088;&#1084;%20&#1043;&#1083;&#1072;&#1089;&#1089;/+&#1058;&#1041;&#1054;-&#1040;&#1082;&#1090;&#1086;&#1073;&#1077;_board/&#1047;&#1072;&#1082;&#1083;&#1102;&#1095;&#1077;&#1085;&#1080;&#1077;/&#1041;&#1055;%20&#1058;&#1041;&#1054;%20&#1040;&#1082;&#1090;&#1086;&#1073;&#107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0-2011/65_&#1069;&#1083;&#1077;&#1074;&#1072;&#1090;&#1086;&#1088;&#1099;/_&#1056;&#1072;&#1089;&#1095;&#1077;&#1090;&#1099;/Documents%20and%20Settings/b_altynbai/&#1052;&#1086;&#1080;%20&#1076;&#1086;&#1082;&#1091;&#1084;&#1077;&#1085;&#1090;&#1099;/&#1052;&#1086;&#1080;%20&#1087;&#1088;&#1086;&#1077;&#1082;&#1090;&#1099;/&#1060;&#1072;&#1088;&#1084;%20&#1043;&#1083;&#1072;&#1089;&#1089;/+&#1058;&#1041;&#1054;-&#1040;&#1082;&#1090;&#1086;&#1073;&#1077;_board/&#1047;&#1072;&#1082;&#1083;&#1102;&#1095;&#1077;&#1085;&#1080;&#1077;/&#1041;&#1055;%20&#1058;&#1041;&#1054;%20&#1040;&#1082;&#1090;&#1086;&#1073;&#107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03_&#1040;&#1082;&#1089;&#1091;&#1072;&#1090;&#1089;&#1082;&#1080;&#1081;%20&#1101;&#1083;&#1077;&#1074;&#1072;&#1090;&#1086;&#1088;+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nts%20and%20Settings/G_Ibraeva/&#1056;&#1072;&#1073;&#1086;&#1095;&#1080;&#1081;%20&#1089;&#1090;&#1086;&#1083;/DOCUME~1/AHMETO~1/LOCALS~1/Temp/Rar$DI00.531/&#1041;&#1102;&#1076;&#1078;&#1077;&#1090;&#1055;&#1088;&#1086;&#1076;&#1072;&#1078;&#1042;&#1085;&#1077;&#1096;&#1085;&#1080;&#108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~1/G_SVEC~1/LOCALS~1/Temp/bat/6A75EE9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&#1052;&#1086;&#1080;%20&#1076;&#1086;&#1082;&#1091;&#1084;&#1077;&#1085;&#1090;&#1099;/&#1055;&#1088;&#1086;&#1077;&#1082;&#1090;&#1099;/&#1053;&#1077;&#1088;&#1091;&#1076;-&#1050;&#1086;&#1096;&#1077;&#1090;&#1072;&#1091;/&#1053;&#1077;&#1088;&#1091;&#1076;/&#1050;&#1086;&#1088;&#1088;&#1077;&#1082;&#1090;&#1080;&#1088;&#1086;&#1074;&#1082;&#1072;%202-&#1086;&#1077;%20&#1087;&#1086;&#1083;&#1091;&#1075;&#1086;&#1076;&#1080;&#1077;%202007%20&#1075;/&#1041;&#1102;&#1076;&#1078;&#1077;&#1090;%20&#1085;&#1072;%202-%20&#1086;&#1077;%20&#1087;&#1086;&#1083;&#1091;&#1075;&#1086;&#1076;&#1080;&#1077;%202007%20&#1075;.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&#1052;&#1051;&#1044;&#1050;%20&#1060;3+&#1060;2%20&#1073;&#1077;&#1079;%20&#1048;&#1060;&#105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&#1056;&#1072;&#1089;&#1095;&#1077;&#1090;%20&#1090;&#1077;&#1082;&#1089;&#1090;&#1080;&#1083;&#1100;_&#1089;%20&#1082;&#1086;&#1088;_01.05.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tes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~1/I_FROL~1/LOCALS~1/Temp/bat/ENKI/&#1053;&#1077;&#1088;&#1091;&#1076;%20&#1084;&#1086;&#1080;%20&#1088;&#1072;&#1089;&#1095;&#1105;&#1090;&#109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~1/G_SVEC~1/LOCALS~1/Temp/bat/15E674E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nts%20and%20Settings/&#1040;&#1076;&#1084;&#1080;&#1085;&#1080;&#1089;&#1090;&#1088;&#1072;&#1090;&#1086;&#1088;/&#1056;&#1072;&#1073;&#1086;&#1095;&#1080;&#1081;%20&#1089;&#1090;&#1086;&#1083;/&#1041;&#1055;/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&#1052;&#1086;&#1080;%20&#1076;&#1086;&#1082;&#1091;&#1084;&#1077;&#1085;&#1090;&#1099;/&#1055;&#1088;&#1086;&#1077;&#1082;&#1090;&#1099;/&#1050;&#1080;&#1088;&#1087;&#1080;&#1095;/&#1041;&#1080;&#1079;&#1085;&#1077;&#1089;-&#1087;&#1083;&#1072;&#1085;/&#1041;&#1055;%20&#1082;&#1080;&#1088;%20&#1079;&#1072;&#1074;&#1086;&#1076;%204%20%20(14.01.08)%20&#1087;&#1077;&#1089;&#1089;&#1080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41;&#1080;&#1079;&#1085;&#1077;&#1089;%20&#1087;&#1083;&#1072;&#1085;&#1099;/&#1080;&#1089;&#1093;&#1086;&#1076;&#1085;&#1099;&#1077;/&#1074;%20&#1060;&#1056;&#1052;&#1055;/&#1088;&#1072;&#1089;&#1095;&#1077;&#1090;%20&#1080;&#1079;&#1084;&#1077;&#1085;&#1077;&#1085;&#1080;&#1081;%20&#1074;%20&#1076;&#1086;&#1075;%20&#1060;&#1051;1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shpan_zh\temp\ERLAN\Zakluchenia\&#1040;&#1050;&#1058;&#1048;&#1042;\Proj_&#1040;&#1050;&#1058;&#1048;&#1042;_7&#1083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 xml:space="preserve">Наименование предприятия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4" refreshError="1"/>
      <sheetData sheetId="5" refreshError="1"/>
      <sheetData sheetId="6" refreshError="1"/>
      <sheetData sheetId="7">
        <row r="58">
          <cell r="C5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8">
          <cell r="E18" t="e">
            <v>#DIV/0!</v>
          </cell>
        </row>
      </sheetData>
      <sheetData sheetId="20" refreshError="1"/>
      <sheetData sheetId="21" refreshError="1"/>
      <sheetData sheetId="22" refreshError="1"/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8.1999999999999993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 refreshError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0" refreshError="1"/>
      <sheetData sheetId="1" refreshError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0" refreshError="1"/>
      <sheetData sheetId="1">
        <row r="9">
          <cell r="C9">
            <v>0.13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0" refreshError="1"/>
      <sheetData sheetId="1">
        <row r="23">
          <cell r="C23">
            <v>121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7">
          <cell r="C17">
            <v>0.13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0"/>
      <sheetData sheetId="1">
        <row r="18">
          <cell r="F18">
            <v>-1000000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0" refreshError="1"/>
      <sheetData sheetId="1" refreshError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0.87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1.1399999999999999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0"/>
      <sheetData sheetId="1">
        <row r="5">
          <cell r="C5">
            <v>148</v>
          </cell>
        </row>
        <row r="8">
          <cell r="C8">
            <v>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>
        <row r="6">
          <cell r="A6" t="str">
            <v>Мраморно-цементная плитка Bretonterastone®</v>
          </cell>
        </row>
      </sheetData>
      <sheetData sheetId="13" refreshError="1"/>
      <sheetData sheetId="1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 refreshError="1">
        <row r="16">
          <cell r="B16">
            <v>0.98932639114871457</v>
          </cell>
        </row>
      </sheetData>
      <sheetData sheetId="1" refreshError="1"/>
      <sheetData sheetId="2" refreshError="1">
        <row r="5">
          <cell r="B5">
            <v>12450000</v>
          </cell>
        </row>
        <row r="6">
          <cell r="B6">
            <v>0.1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 enableFormatConditionsCalculation="0">
    <tabColor rgb="FFFF0000"/>
  </sheetPr>
  <dimension ref="A1:AT142"/>
  <sheetViews>
    <sheetView showGridLines="0" showZeros="0" zoomScaleNormal="100" workbookViewId="0">
      <pane xSplit="3" ySplit="6" topLeftCell="P7" activePane="bottomRight" state="frozen"/>
      <selection activeCell="A34" sqref="A34"/>
      <selection pane="topRight" activeCell="A34" sqref="A34"/>
      <selection pane="bottomLeft" activeCell="A34" sqref="A34"/>
      <selection pane="bottomRight" activeCell="B51" sqref="B51"/>
    </sheetView>
  </sheetViews>
  <sheetFormatPr defaultColWidth="8.5703125" defaultRowHeight="12.75" outlineLevelRow="1" outlineLevelCol="1"/>
  <cols>
    <col min="1" max="1" width="37.28515625" style="59" customWidth="1"/>
    <col min="2" max="2" width="10.140625" style="60" customWidth="1"/>
    <col min="3" max="3" width="1.85546875" style="60" customWidth="1"/>
    <col min="4" max="6" width="7.7109375" style="6" hidden="1" customWidth="1" outlineLevel="1"/>
    <col min="7" max="7" width="7.7109375" style="56" hidden="1" customWidth="1" outlineLevel="1"/>
    <col min="8" max="12" width="7.7109375" style="6" hidden="1" customWidth="1" outlineLevel="1"/>
    <col min="13" max="13" width="7.85546875" style="6" hidden="1" customWidth="1" outlineLevel="1"/>
    <col min="14" max="14" width="7.28515625" style="6" hidden="1" customWidth="1" outlineLevel="1"/>
    <col min="15" max="15" width="7.5703125" style="6" hidden="1" customWidth="1" outlineLevel="1"/>
    <col min="16" max="16" width="8.28515625" style="7" customWidth="1" collapsed="1"/>
    <col min="17" max="28" width="7.5703125" style="6" hidden="1" customWidth="1" outlineLevel="1"/>
    <col min="29" max="29" width="8.7109375" style="7" customWidth="1" collapsed="1"/>
    <col min="30" max="30" width="8.5703125" style="7" customWidth="1"/>
    <col min="31" max="31" width="8.7109375" style="7" customWidth="1"/>
    <col min="32" max="32" width="8.5703125" style="7" customWidth="1"/>
    <col min="33" max="34" width="7.85546875" style="8" bestFit="1" customWidth="1"/>
    <col min="35" max="41" width="8.7109375" style="8" bestFit="1" customWidth="1"/>
    <col min="42" max="16384" width="8.5703125" style="8"/>
  </cols>
  <sheetData>
    <row r="1" spans="1:46">
      <c r="A1" s="61" t="s">
        <v>175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46" hidden="1" outlineLevel="1">
      <c r="A2" s="9">
        <f>MAX(K35:AF35)</f>
        <v>9573.3400894736842</v>
      </c>
      <c r="B2" s="10">
        <f>MIN(D35:AH35)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46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46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46" ht="15.75" customHeight="1">
      <c r="A5" s="264" t="s">
        <v>3</v>
      </c>
      <c r="B5" s="266" t="s">
        <v>1</v>
      </c>
      <c r="C5" s="15"/>
      <c r="D5" s="266">
        <v>2012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>
        <v>2013</v>
      </c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15">
        <v>2014</v>
      </c>
      <c r="AE5" s="15">
        <f>AD5+1</f>
        <v>2015</v>
      </c>
      <c r="AF5" s="15">
        <f>AE5+1</f>
        <v>2016</v>
      </c>
      <c r="AG5" s="15">
        <f>AF5+1</f>
        <v>2017</v>
      </c>
      <c r="AH5" s="15">
        <f>AG5+1</f>
        <v>2018</v>
      </c>
    </row>
    <row r="6" spans="1:46">
      <c r="A6" s="265"/>
      <c r="B6" s="266"/>
      <c r="C6" s="15"/>
      <c r="D6" s="16">
        <v>1</v>
      </c>
      <c r="E6" s="16">
        <f>D6+1</f>
        <v>2</v>
      </c>
      <c r="F6" s="16">
        <f t="shared" ref="F6:O6" si="0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t="shared" ref="S6:AB6" si="1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5" t="s">
        <v>118</v>
      </c>
      <c r="AE6" s="15" t="s">
        <v>118</v>
      </c>
      <c r="AF6" s="15" t="s">
        <v>118</v>
      </c>
      <c r="AG6" s="15" t="s">
        <v>118</v>
      </c>
      <c r="AH6" s="15" t="s">
        <v>118</v>
      </c>
    </row>
    <row r="7" spans="1:46" s="21" customFormat="1" ht="25.5">
      <c r="A7" s="17" t="s">
        <v>241</v>
      </c>
      <c r="B7" s="18">
        <f>P7</f>
        <v>0</v>
      </c>
      <c r="C7" s="19"/>
      <c r="D7" s="20">
        <f>C35</f>
        <v>0</v>
      </c>
      <c r="E7" s="20">
        <f t="shared" ref="E7:K7" si="2">D35</f>
        <v>0</v>
      </c>
      <c r="F7" s="20">
        <f t="shared" si="2"/>
        <v>0</v>
      </c>
      <c r="G7" s="20">
        <f t="shared" si="2"/>
        <v>0</v>
      </c>
      <c r="H7" s="20">
        <f t="shared" si="2"/>
        <v>215.24189999999999</v>
      </c>
      <c r="I7" s="20">
        <f t="shared" si="2"/>
        <v>430.48379999999997</v>
      </c>
      <c r="J7" s="20">
        <f t="shared" si="2"/>
        <v>405.04965789473681</v>
      </c>
      <c r="K7" s="20">
        <f t="shared" si="2"/>
        <v>381.14848421052625</v>
      </c>
      <c r="L7" s="20">
        <f>K35</f>
        <v>358.78027894736829</v>
      </c>
      <c r="M7" s="20">
        <f>L35</f>
        <v>337.94504210526304</v>
      </c>
      <c r="N7" s="20">
        <f>M35</f>
        <v>318.6427736842104</v>
      </c>
      <c r="O7" s="20">
        <f>N35</f>
        <v>300.87347368421035</v>
      </c>
      <c r="P7" s="20">
        <f>D7</f>
        <v>0</v>
      </c>
      <c r="Q7" s="20">
        <f>P35</f>
        <v>284.63714210526291</v>
      </c>
      <c r="R7" s="20">
        <f t="shared" ref="R7:AA7" si="3">Q35</f>
        <v>338.81107894736817</v>
      </c>
      <c r="S7" s="20">
        <f t="shared" si="3"/>
        <v>394.51798421052615</v>
      </c>
      <c r="T7" s="20">
        <f t="shared" si="3"/>
        <v>451.75785789473673</v>
      </c>
      <c r="U7" s="20">
        <f t="shared" si="3"/>
        <v>510.53069999999991</v>
      </c>
      <c r="V7" s="20">
        <f t="shared" si="3"/>
        <v>570.83651052631569</v>
      </c>
      <c r="W7" s="20">
        <f t="shared" si="3"/>
        <v>632.67528947368419</v>
      </c>
      <c r="X7" s="20">
        <f t="shared" si="3"/>
        <v>696.04703684210529</v>
      </c>
      <c r="Y7" s="20">
        <f t="shared" si="3"/>
        <v>760.95175263157898</v>
      </c>
      <c r="Z7" s="20">
        <f t="shared" si="3"/>
        <v>827.38943684210528</v>
      </c>
      <c r="AA7" s="20">
        <f t="shared" si="3"/>
        <v>895.3600894736843</v>
      </c>
      <c r="AB7" s="20">
        <f>AA35</f>
        <v>964.86371052631591</v>
      </c>
      <c r="AC7" s="20">
        <f>Q7</f>
        <v>284.63714210526291</v>
      </c>
      <c r="AD7" s="20">
        <f>AC35</f>
        <v>1035.9003000000002</v>
      </c>
      <c r="AE7" s="20">
        <f>AD35</f>
        <v>2834.4385105263163</v>
      </c>
      <c r="AF7" s="20">
        <f>AE35</f>
        <v>5680.2517736842101</v>
      </c>
      <c r="AG7" s="20">
        <f>AF35</f>
        <v>9573.3400894736842</v>
      </c>
      <c r="AH7" s="20">
        <f>AG35</f>
        <v>15151.160699999999</v>
      </c>
      <c r="AP7" s="8"/>
      <c r="AQ7" s="8"/>
      <c r="AR7" s="8"/>
      <c r="AS7" s="8"/>
      <c r="AT7" s="8"/>
    </row>
    <row r="8" spans="1:46" s="21" customFormat="1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P8" s="8"/>
      <c r="AQ8" s="8"/>
      <c r="AR8" s="8"/>
      <c r="AS8" s="8"/>
      <c r="AT8" s="8"/>
    </row>
    <row r="9" spans="1:46" s="21" customFormat="1">
      <c r="A9" s="26" t="s">
        <v>18</v>
      </c>
      <c r="B9" s="27">
        <f>P9+AC9+AD9+AE9+AF9+AG9+AH9</f>
        <v>106596</v>
      </c>
      <c r="C9" s="27"/>
      <c r="D9" s="27">
        <f t="shared" ref="D9:AH9" si="4">SUM(D10:D11)</f>
        <v>0</v>
      </c>
      <c r="E9" s="27">
        <f t="shared" si="4"/>
        <v>0</v>
      </c>
      <c r="F9" s="27">
        <f t="shared" si="4"/>
        <v>0</v>
      </c>
      <c r="G9" s="27">
        <f t="shared" si="4"/>
        <v>1092</v>
      </c>
      <c r="H9" s="27">
        <f t="shared" si="4"/>
        <v>1092</v>
      </c>
      <c r="I9" s="27">
        <f t="shared" si="4"/>
        <v>1092</v>
      </c>
      <c r="J9" s="27">
        <f t="shared" si="4"/>
        <v>1092</v>
      </c>
      <c r="K9" s="27">
        <f t="shared" si="4"/>
        <v>1092</v>
      </c>
      <c r="L9" s="27">
        <f t="shared" si="4"/>
        <v>1092</v>
      </c>
      <c r="M9" s="27">
        <f t="shared" si="4"/>
        <v>1092</v>
      </c>
      <c r="N9" s="27">
        <f t="shared" si="4"/>
        <v>1092</v>
      </c>
      <c r="O9" s="27">
        <f t="shared" si="4"/>
        <v>1092</v>
      </c>
      <c r="P9" s="27">
        <f t="shared" si="4"/>
        <v>9828</v>
      </c>
      <c r="Q9" s="27">
        <f t="shared" si="4"/>
        <v>1176</v>
      </c>
      <c r="R9" s="27">
        <f t="shared" si="4"/>
        <v>1176</v>
      </c>
      <c r="S9" s="27">
        <f t="shared" si="4"/>
        <v>1176</v>
      </c>
      <c r="T9" s="27">
        <f t="shared" si="4"/>
        <v>1176</v>
      </c>
      <c r="U9" s="27">
        <f t="shared" si="4"/>
        <v>1176</v>
      </c>
      <c r="V9" s="27">
        <f t="shared" si="4"/>
        <v>1176</v>
      </c>
      <c r="W9" s="27">
        <f t="shared" si="4"/>
        <v>1176</v>
      </c>
      <c r="X9" s="27">
        <f t="shared" si="4"/>
        <v>1176</v>
      </c>
      <c r="Y9" s="27">
        <f t="shared" si="4"/>
        <v>1176</v>
      </c>
      <c r="Z9" s="27">
        <f t="shared" si="4"/>
        <v>1176</v>
      </c>
      <c r="AA9" s="27">
        <f t="shared" si="4"/>
        <v>1176</v>
      </c>
      <c r="AB9" s="27">
        <f t="shared" si="4"/>
        <v>1176</v>
      </c>
      <c r="AC9" s="27">
        <f t="shared" si="4"/>
        <v>14112</v>
      </c>
      <c r="AD9" s="27">
        <f t="shared" si="4"/>
        <v>15120</v>
      </c>
      <c r="AE9" s="27">
        <f t="shared" si="4"/>
        <v>16128</v>
      </c>
      <c r="AF9" s="27">
        <f t="shared" si="4"/>
        <v>17136</v>
      </c>
      <c r="AG9" s="27">
        <f t="shared" si="4"/>
        <v>17136</v>
      </c>
      <c r="AH9" s="27">
        <f t="shared" si="4"/>
        <v>17136</v>
      </c>
      <c r="AP9" s="8"/>
      <c r="AQ9" s="8"/>
      <c r="AR9" s="8"/>
      <c r="AS9" s="8"/>
      <c r="AT9" s="8"/>
    </row>
    <row r="10" spans="1:46">
      <c r="A10" s="28" t="s">
        <v>246</v>
      </c>
      <c r="B10" s="27">
        <f t="shared" ref="B10:B17" si="5">P10+AC10+AD10+AE10+AF10+AG10+AH10</f>
        <v>106596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1092</v>
      </c>
      <c r="H10" s="29">
        <f>'2-ф2'!H6*Исх!$C$18</f>
        <v>1092</v>
      </c>
      <c r="I10" s="29">
        <f>'2-ф2'!I6*Исх!$C$18</f>
        <v>1092</v>
      </c>
      <c r="J10" s="29">
        <f>'2-ф2'!J6*Исх!$C$18</f>
        <v>1092</v>
      </c>
      <c r="K10" s="29">
        <f>'2-ф2'!K6*Исх!$C$18</f>
        <v>1092</v>
      </c>
      <c r="L10" s="29">
        <f>'2-ф2'!L6*Исх!$C$18</f>
        <v>1092</v>
      </c>
      <c r="M10" s="29">
        <f>'2-ф2'!M6*Исх!$C$18</f>
        <v>1092</v>
      </c>
      <c r="N10" s="29">
        <f>'2-ф2'!N6*Исх!$C$18</f>
        <v>1092</v>
      </c>
      <c r="O10" s="29">
        <f>'2-ф2'!O6*Исх!$C$18</f>
        <v>1092</v>
      </c>
      <c r="P10" s="27">
        <f>SUM(D10:O10)</f>
        <v>9828</v>
      </c>
      <c r="Q10" s="29">
        <f>'2-ф2'!Q6*Исх!$C$18</f>
        <v>1176</v>
      </c>
      <c r="R10" s="29">
        <f>'2-ф2'!R6*Исх!$C$18</f>
        <v>1176</v>
      </c>
      <c r="S10" s="29">
        <f>'2-ф2'!S6*Исх!$C$18</f>
        <v>1176</v>
      </c>
      <c r="T10" s="29">
        <f>'2-ф2'!T6*Исх!$C$18</f>
        <v>1176</v>
      </c>
      <c r="U10" s="29">
        <f>'2-ф2'!U6*Исх!$C$18</f>
        <v>1176</v>
      </c>
      <c r="V10" s="29">
        <f>'2-ф2'!V6*Исх!$C$18</f>
        <v>1176</v>
      </c>
      <c r="W10" s="29">
        <f>'2-ф2'!W6*Исх!$C$18</f>
        <v>1176</v>
      </c>
      <c r="X10" s="29">
        <f>'2-ф2'!X6*Исх!$C$18</f>
        <v>1176</v>
      </c>
      <c r="Y10" s="29">
        <f>'2-ф2'!Y6*Исх!$C$18</f>
        <v>1176</v>
      </c>
      <c r="Z10" s="29">
        <f>'2-ф2'!Z6*Исх!$C$18</f>
        <v>1176</v>
      </c>
      <c r="AA10" s="29">
        <f>'2-ф2'!AA6*Исх!$C$18</f>
        <v>1176</v>
      </c>
      <c r="AB10" s="29">
        <f>'2-ф2'!AB6*Исх!$C$18</f>
        <v>1176</v>
      </c>
      <c r="AC10" s="27">
        <f>SUM(Q10:AB10)</f>
        <v>14112</v>
      </c>
      <c r="AD10" s="29">
        <f>'2-ф2'!AD6*Исх!$C$18</f>
        <v>15120</v>
      </c>
      <c r="AE10" s="29">
        <f>'2-ф2'!AE6*Исх!$C$18</f>
        <v>16128</v>
      </c>
      <c r="AF10" s="29">
        <f>'2-ф2'!AF6*Исх!$C$18</f>
        <v>17136</v>
      </c>
      <c r="AG10" s="29">
        <f>'2-ф2'!AG6*Исх!$C$18</f>
        <v>17136</v>
      </c>
      <c r="AH10" s="29">
        <f>'2-ф2'!AH6*Исх!$C$18</f>
        <v>17136</v>
      </c>
    </row>
    <row r="11" spans="1:46">
      <c r="A11" s="28"/>
      <c r="B11" s="27">
        <f t="shared" si="5"/>
        <v>0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0</v>
      </c>
      <c r="R11" s="29">
        <f>'2-ф2'!R7*Исх!$C$18</f>
        <v>0</v>
      </c>
      <c r="S11" s="29">
        <f>'2-ф2'!S7*Исх!$C$18</f>
        <v>0</v>
      </c>
      <c r="T11" s="29">
        <f>'2-ф2'!T7*Исх!$C$18</f>
        <v>0</v>
      </c>
      <c r="U11" s="29">
        <f>'2-ф2'!U7*Исх!$C$18</f>
        <v>0</v>
      </c>
      <c r="V11" s="29">
        <f>'2-ф2'!V7*Исх!$C$18</f>
        <v>0</v>
      </c>
      <c r="W11" s="29">
        <f>'2-ф2'!W7*Исх!$C$18</f>
        <v>0</v>
      </c>
      <c r="X11" s="29">
        <f>'2-ф2'!X7*Исх!$C$18</f>
        <v>0</v>
      </c>
      <c r="Y11" s="29">
        <f>'2-ф2'!Y7*Исх!$C$18</f>
        <v>0</v>
      </c>
      <c r="Z11" s="29">
        <f>'2-ф2'!Z7*Исх!$C$18</f>
        <v>0</v>
      </c>
      <c r="AA11" s="29">
        <f>'2-ф2'!AA7*Исх!$C$18</f>
        <v>0</v>
      </c>
      <c r="AB11" s="29">
        <f>'2-ф2'!AB7*Исх!$C$18</f>
        <v>0</v>
      </c>
      <c r="AC11" s="27">
        <f>SUM(Q11:AB11)</f>
        <v>0</v>
      </c>
      <c r="AD11" s="29">
        <f>'2-ф2'!AD7*Исх!$C$18</f>
        <v>0</v>
      </c>
      <c r="AE11" s="29">
        <f>'2-ф2'!AE7*Исх!$C$18</f>
        <v>0</v>
      </c>
      <c r="AF11" s="29">
        <f>'2-ф2'!AF7*Исх!$C$18</f>
        <v>0</v>
      </c>
      <c r="AG11" s="29">
        <f>'2-ф2'!AG7*Исх!$C$18</f>
        <v>0</v>
      </c>
      <c r="AH11" s="29">
        <f>'2-ф2'!AH7*Исх!$C$18</f>
        <v>0</v>
      </c>
    </row>
    <row r="12" spans="1:46" s="21" customFormat="1">
      <c r="A12" s="30" t="s">
        <v>5</v>
      </c>
      <c r="B12" s="27">
        <f t="shared" si="5"/>
        <v>76817.906100000007</v>
      </c>
      <c r="C12" s="27"/>
      <c r="D12" s="31">
        <f t="shared" ref="D12:AH12" si="6">SUM(D13:D17)</f>
        <v>0</v>
      </c>
      <c r="E12" s="31">
        <f t="shared" si="6"/>
        <v>0</v>
      </c>
      <c r="F12" s="31">
        <f t="shared" si="6"/>
        <v>0</v>
      </c>
      <c r="G12" s="31">
        <f t="shared" si="6"/>
        <v>876.75810000000001</v>
      </c>
      <c r="H12" s="31">
        <f t="shared" si="6"/>
        <v>876.75810000000001</v>
      </c>
      <c r="I12" s="31">
        <f t="shared" si="6"/>
        <v>964.13729999999998</v>
      </c>
      <c r="J12" s="31">
        <f t="shared" si="6"/>
        <v>962.60433157894738</v>
      </c>
      <c r="K12" s="31">
        <f t="shared" si="6"/>
        <v>961.07136315789478</v>
      </c>
      <c r="L12" s="31">
        <f t="shared" si="6"/>
        <v>959.53839473684206</v>
      </c>
      <c r="M12" s="31">
        <f t="shared" si="6"/>
        <v>958.00542631578946</v>
      </c>
      <c r="N12" s="31">
        <f t="shared" si="6"/>
        <v>956.47245789473686</v>
      </c>
      <c r="O12" s="31">
        <f t="shared" si="6"/>
        <v>954.93948947368426</v>
      </c>
      <c r="P12" s="31">
        <f t="shared" si="6"/>
        <v>8470.2849631578956</v>
      </c>
      <c r="Q12" s="31">
        <f t="shared" si="6"/>
        <v>968.52922105263156</v>
      </c>
      <c r="R12" s="31">
        <f t="shared" si="6"/>
        <v>966.99625263157884</v>
      </c>
      <c r="S12" s="31">
        <f t="shared" si="6"/>
        <v>965.46328421052624</v>
      </c>
      <c r="T12" s="31">
        <f t="shared" si="6"/>
        <v>963.93031578947364</v>
      </c>
      <c r="U12" s="31">
        <f t="shared" si="6"/>
        <v>962.39734736842104</v>
      </c>
      <c r="V12" s="31">
        <f t="shared" si="6"/>
        <v>960.86437894736832</v>
      </c>
      <c r="W12" s="31">
        <f t="shared" si="6"/>
        <v>959.33141052631572</v>
      </c>
      <c r="X12" s="31">
        <f t="shared" si="6"/>
        <v>957.79844210526312</v>
      </c>
      <c r="Y12" s="31">
        <f t="shared" si="6"/>
        <v>956.26547368421052</v>
      </c>
      <c r="Z12" s="31">
        <f t="shared" si="6"/>
        <v>954.7325052631578</v>
      </c>
      <c r="AA12" s="31">
        <f t="shared" si="6"/>
        <v>953.1995368421052</v>
      </c>
      <c r="AB12" s="31">
        <f t="shared" si="6"/>
        <v>951.6665684210526</v>
      </c>
      <c r="AC12" s="31">
        <f t="shared" si="6"/>
        <v>11521.174736842107</v>
      </c>
      <c r="AD12" s="31">
        <f t="shared" si="6"/>
        <v>11481.899684210526</v>
      </c>
      <c r="AE12" s="31">
        <f t="shared" si="6"/>
        <v>11442.624631578949</v>
      </c>
      <c r="AF12" s="31">
        <f t="shared" si="6"/>
        <v>11403.349578947369</v>
      </c>
      <c r="AG12" s="31">
        <f t="shared" si="6"/>
        <v>11251.58570526316</v>
      </c>
      <c r="AH12" s="31">
        <f t="shared" si="6"/>
        <v>11246.986800000002</v>
      </c>
      <c r="AP12" s="8"/>
      <c r="AQ12" s="8"/>
      <c r="AR12" s="8"/>
      <c r="AS12" s="8"/>
      <c r="AT12" s="8"/>
    </row>
    <row r="13" spans="1:46">
      <c r="A13" s="28" t="s">
        <v>221</v>
      </c>
      <c r="B13" s="27">
        <f t="shared" si="5"/>
        <v>15992.826299999997</v>
      </c>
      <c r="C13" s="32"/>
      <c r="D13" s="29">
        <f>'2-ф2'!D9*Исх!$C$18</f>
        <v>0</v>
      </c>
      <c r="E13" s="29">
        <f>'2-ф2'!E9*Исх!$C$18</f>
        <v>0</v>
      </c>
      <c r="F13" s="29">
        <f>'2-ф2'!F9*Исх!$C$18</f>
        <v>0</v>
      </c>
      <c r="G13" s="29">
        <f>'2-ф2'!G9*Исх!$C$18</f>
        <v>163.83509999999998</v>
      </c>
      <c r="H13" s="29">
        <f>'2-ф2'!H9*Исх!$C$18</f>
        <v>163.83509999999998</v>
      </c>
      <c r="I13" s="29">
        <f>'2-ф2'!I9*Исх!$C$18</f>
        <v>163.83509999999998</v>
      </c>
      <c r="J13" s="29">
        <f>'2-ф2'!J9*Исх!$C$18</f>
        <v>163.83509999999998</v>
      </c>
      <c r="K13" s="29">
        <f>'2-ф2'!K9*Исх!$C$18</f>
        <v>163.83509999999998</v>
      </c>
      <c r="L13" s="29">
        <f>'2-ф2'!L9*Исх!$C$18</f>
        <v>163.83509999999998</v>
      </c>
      <c r="M13" s="29">
        <f>'2-ф2'!M9*Исх!$C$18</f>
        <v>163.83509999999998</v>
      </c>
      <c r="N13" s="29">
        <f>'2-ф2'!N9*Исх!$C$18</f>
        <v>163.83509999999998</v>
      </c>
      <c r="O13" s="29">
        <f>'2-ф2'!O9*Исх!$C$18</f>
        <v>163.83509999999998</v>
      </c>
      <c r="P13" s="27">
        <f>SUM(D13:O13)</f>
        <v>1474.5158999999999</v>
      </c>
      <c r="Q13" s="29">
        <f>'2-ф2'!Q9*Исх!$C$18</f>
        <v>176.43779999999998</v>
      </c>
      <c r="R13" s="29">
        <f>'2-ф2'!R9*Исх!$C$18</f>
        <v>176.43779999999998</v>
      </c>
      <c r="S13" s="29">
        <f>'2-ф2'!S9*Исх!$C$18</f>
        <v>176.43779999999998</v>
      </c>
      <c r="T13" s="29">
        <f>'2-ф2'!T9*Исх!$C$18</f>
        <v>176.43779999999998</v>
      </c>
      <c r="U13" s="29">
        <f>'2-ф2'!U9*Исх!$C$18</f>
        <v>176.43779999999998</v>
      </c>
      <c r="V13" s="29">
        <f>'2-ф2'!V9*Исх!$C$18</f>
        <v>176.43779999999998</v>
      </c>
      <c r="W13" s="29">
        <f>'2-ф2'!W9*Исх!$C$18</f>
        <v>176.43779999999998</v>
      </c>
      <c r="X13" s="29">
        <f>'2-ф2'!X9*Исх!$C$18</f>
        <v>176.43779999999998</v>
      </c>
      <c r="Y13" s="29">
        <f>'2-ф2'!Y9*Исх!$C$18</f>
        <v>176.43779999999998</v>
      </c>
      <c r="Z13" s="29">
        <f>'2-ф2'!Z9*Исх!$C$18</f>
        <v>176.43779999999998</v>
      </c>
      <c r="AA13" s="29">
        <f>'2-ф2'!AA9*Исх!$C$18</f>
        <v>176.43779999999998</v>
      </c>
      <c r="AB13" s="29">
        <f>'2-ф2'!AB9*Исх!$C$18</f>
        <v>176.43779999999998</v>
      </c>
      <c r="AC13" s="27">
        <f>SUM(Q13:AB13)</f>
        <v>2117.2535999999996</v>
      </c>
      <c r="AD13" s="29">
        <f>'2-ф2'!AD9*Исх!$C$18</f>
        <v>2268.4859999999999</v>
      </c>
      <c r="AE13" s="29">
        <f>'2-ф2'!AE9*Исх!$C$18</f>
        <v>2419.7183999999997</v>
      </c>
      <c r="AF13" s="29">
        <f>'2-ф2'!AF9*Исх!$C$18</f>
        <v>2570.9507999999996</v>
      </c>
      <c r="AG13" s="29">
        <f>'2-ф2'!AG9*Исх!$C$18</f>
        <v>2570.9507999999996</v>
      </c>
      <c r="AH13" s="29">
        <f>'2-ф2'!AH9*Исх!$C$18</f>
        <v>2570.9507999999996</v>
      </c>
    </row>
    <row r="14" spans="1:46">
      <c r="A14" s="28" t="s">
        <v>156</v>
      </c>
      <c r="B14" s="27">
        <f t="shared" si="5"/>
        <v>55093.202999999994</v>
      </c>
      <c r="C14" s="27"/>
      <c r="D14" s="29"/>
      <c r="E14" s="29"/>
      <c r="F14" s="29"/>
      <c r="G14" s="29">
        <f>(Пост!$C$15-Пост!$C$6)*Исх!$C$18+Пост!$C$6+Пост!$C$17+Пост!$C$20</f>
        <v>680.16300000000001</v>
      </c>
      <c r="H14" s="29">
        <f>(Пост!$C$15-Пост!$C$6)*Исх!$C$18+Пост!$C$6+Пост!$C$17+Пост!$C$20</f>
        <v>680.16300000000001</v>
      </c>
      <c r="I14" s="29">
        <f>(Пост!$C$15-Пост!$C$6)*Исх!$C$18+Пост!$C$6+Пост!$C$17+Пост!$C$20</f>
        <v>680.16300000000001</v>
      </c>
      <c r="J14" s="29">
        <f>(Пост!$C$15-Пост!$C$6)*Исх!$C$18+Пост!$C$6+Пост!$C$17+Пост!$C$20</f>
        <v>680.16300000000001</v>
      </c>
      <c r="K14" s="29">
        <f>(Пост!$C$15-Пост!$C$6)*Исх!$C$18+Пост!$C$6+Пост!$C$17+Пост!$C$20</f>
        <v>680.16300000000001</v>
      </c>
      <c r="L14" s="29">
        <f>(Пост!$C$15-Пост!$C$6)*Исх!$C$18+Пост!$C$6+Пост!$C$17+Пост!$C$20</f>
        <v>680.16300000000001</v>
      </c>
      <c r="M14" s="29">
        <f>(Пост!$C$15-Пост!$C$6)*Исх!$C$18+Пост!$C$6+Пост!$C$17+Пост!$C$20</f>
        <v>680.16300000000001</v>
      </c>
      <c r="N14" s="29">
        <f>(Пост!$C$15-Пост!$C$6)*Исх!$C$18+Пост!$C$6+Пост!$C$17+Пост!$C$20</f>
        <v>680.16300000000001</v>
      </c>
      <c r="O14" s="29">
        <f>(Пост!$C$15-Пост!$C$6)*Исх!$C$18+Пост!$C$6+Пост!$C$17+Пост!$C$20</f>
        <v>680.16300000000001</v>
      </c>
      <c r="P14" s="27">
        <f>SUM(D14:O14)</f>
        <v>6121.4670000000006</v>
      </c>
      <c r="Q14" s="29">
        <f>(Пост!$D$15-Пост!$D$6)*Исх!$C$18+Пост!$D$6+Пост!$D$17+Пост!$D$20</f>
        <v>680.16300000000001</v>
      </c>
      <c r="R14" s="29">
        <f>(Пост!$D$15-Пост!$D$6)*Исх!$C$18+Пост!$D$6+Пост!$D$17+Пост!$D$20</f>
        <v>680.16300000000001</v>
      </c>
      <c r="S14" s="29">
        <f>(Пост!$D$15-Пост!$D$6)*Исх!$C$18+Пост!$D$6+Пост!$D$17+Пост!$D$20</f>
        <v>680.16300000000001</v>
      </c>
      <c r="T14" s="29">
        <f>(Пост!$D$15-Пост!$D$6)*Исх!$C$18+Пост!$D$6+Пост!$D$17+Пост!$D$20</f>
        <v>680.16300000000001</v>
      </c>
      <c r="U14" s="29">
        <f>(Пост!$D$15-Пост!$D$6)*Исх!$C$18+Пост!$D$6+Пост!$D$17+Пост!$D$20</f>
        <v>680.16300000000001</v>
      </c>
      <c r="V14" s="29">
        <f>(Пост!$D$15-Пост!$D$6)*Исх!$C$18+Пост!$D$6+Пост!$D$17+Пост!$D$20</f>
        <v>680.16300000000001</v>
      </c>
      <c r="W14" s="29">
        <f>(Пост!$D$15-Пост!$D$6)*Исх!$C$18+Пост!$D$6+Пост!$D$17+Пост!$D$20</f>
        <v>680.16300000000001</v>
      </c>
      <c r="X14" s="29">
        <f>(Пост!$D$15-Пост!$D$6)*Исх!$C$18+Пост!$D$6+Пост!$D$17+Пост!$D$20</f>
        <v>680.16300000000001</v>
      </c>
      <c r="Y14" s="29">
        <f>(Пост!$D$15-Пост!$D$6)*Исх!$C$18+Пост!$D$6+Пост!$D$17+Пост!$D$20</f>
        <v>680.16300000000001</v>
      </c>
      <c r="Z14" s="29">
        <f>(Пост!$D$15-Пост!$D$6)*Исх!$C$18+Пост!$D$6+Пост!$D$17+Пост!$D$20</f>
        <v>680.16300000000001</v>
      </c>
      <c r="AA14" s="29">
        <f>(Пост!$D$15-Пост!$D$6)*Исх!$C$18+Пост!$D$6+Пост!$D$17+Пост!$D$20</f>
        <v>680.16300000000001</v>
      </c>
      <c r="AB14" s="29">
        <f>(Пост!$D$15-Пост!$D$6)*Исх!$C$18+Пост!$D$6+Пост!$D$17+Пост!$D$20</f>
        <v>680.16300000000001</v>
      </c>
      <c r="AC14" s="27">
        <f>SUM(Q14:AB14)</f>
        <v>8161.9560000000019</v>
      </c>
      <c r="AD14" s="29">
        <f>((Пост!E15-Пост!E6)*Исх!$C$18+Пост!E6+Пост!E17+Пост!E20)*12</f>
        <v>8161.9560000000001</v>
      </c>
      <c r="AE14" s="29">
        <f>((Пост!F15-Пост!F6)*Исх!$C$18+Пост!F6+Пост!F17+Пост!F20)*12</f>
        <v>8161.9560000000001</v>
      </c>
      <c r="AF14" s="29">
        <f>((Пост!G15-Пост!G6)*Исх!$C$18+Пост!G6+Пост!G17+Пост!G20)*12</f>
        <v>8161.9560000000001</v>
      </c>
      <c r="AG14" s="29">
        <f>((Пост!H15-Пост!H6)*Исх!$C$18+Пост!H6+Пост!H17+Пост!H20)*12</f>
        <v>8161.9560000000001</v>
      </c>
      <c r="AH14" s="29">
        <f>((Пост!I15-Пост!I6)*Исх!$C$18+Пост!I6+Пост!I17+Пост!I20)*12</f>
        <v>8161.9560000000001</v>
      </c>
    </row>
    <row r="15" spans="1:46">
      <c r="A15" s="28" t="s">
        <v>54</v>
      </c>
      <c r="B15" s="27">
        <f t="shared" si="5"/>
        <v>2533.9968000000054</v>
      </c>
      <c r="C15" s="27"/>
      <c r="D15" s="29">
        <f>кр!C11</f>
        <v>0</v>
      </c>
      <c r="E15" s="29">
        <f>кр!D11</f>
        <v>0</v>
      </c>
      <c r="F15" s="29">
        <f>кр!E11</f>
        <v>0</v>
      </c>
      <c r="G15" s="29">
        <f>кр!F11</f>
        <v>0</v>
      </c>
      <c r="H15" s="29">
        <f>кр!G11</f>
        <v>0</v>
      </c>
      <c r="I15" s="29">
        <f>кр!H11</f>
        <v>87.379200000000012</v>
      </c>
      <c r="J15" s="29">
        <f>кр!I11</f>
        <v>85.846231578947368</v>
      </c>
      <c r="K15" s="29">
        <f>кр!J11</f>
        <v>84.313263157894738</v>
      </c>
      <c r="L15" s="29">
        <f>кр!K11</f>
        <v>82.780294736842109</v>
      </c>
      <c r="M15" s="29">
        <f>кр!L11</f>
        <v>81.247326315789493</v>
      </c>
      <c r="N15" s="29">
        <f>кр!M11</f>
        <v>79.714357894736864</v>
      </c>
      <c r="O15" s="29">
        <f>кр!N11</f>
        <v>78.181389473684234</v>
      </c>
      <c r="P15" s="27">
        <f>SUM(D15:O15)</f>
        <v>579.46206315789482</v>
      </c>
      <c r="Q15" s="29">
        <f>кр!P11</f>
        <v>76.648421052631605</v>
      </c>
      <c r="R15" s="29">
        <f>кр!Q11</f>
        <v>75.115452631578975</v>
      </c>
      <c r="S15" s="29">
        <f>кр!R11</f>
        <v>73.582484210526346</v>
      </c>
      <c r="T15" s="29">
        <f>кр!S11</f>
        <v>72.049515789473716</v>
      </c>
      <c r="U15" s="29">
        <f>кр!T11</f>
        <v>70.516547368421087</v>
      </c>
      <c r="V15" s="29">
        <f>кр!U11</f>
        <v>68.983578947368457</v>
      </c>
      <c r="W15" s="29">
        <f>кр!V11</f>
        <v>67.450610526315828</v>
      </c>
      <c r="X15" s="29">
        <f>кр!W11</f>
        <v>65.917642105263198</v>
      </c>
      <c r="Y15" s="29">
        <f>кр!X11</f>
        <v>64.384673684210568</v>
      </c>
      <c r="Z15" s="29">
        <f>кр!Y11</f>
        <v>62.851705263157946</v>
      </c>
      <c r="AA15" s="29">
        <f>кр!Z11</f>
        <v>61.318736842105316</v>
      </c>
      <c r="AB15" s="29">
        <f>кр!AA11</f>
        <v>59.785768421052687</v>
      </c>
      <c r="AC15" s="27">
        <f>SUM(Q15:AB15)</f>
        <v>818.60513684210571</v>
      </c>
      <c r="AD15" s="33">
        <f>кр!AO11</f>
        <v>597.85768421052728</v>
      </c>
      <c r="AE15" s="33">
        <f>кр!BB11</f>
        <v>377.1102315789484</v>
      </c>
      <c r="AF15" s="33">
        <f>кр!BO11</f>
        <v>156.36277894736935</v>
      </c>
      <c r="AG15" s="33">
        <f>кр!CB11</f>
        <v>4.5989052631588967</v>
      </c>
      <c r="AH15" s="33">
        <f>кр!CO11</f>
        <v>1.0027179087046534E-12</v>
      </c>
    </row>
    <row r="16" spans="1:46">
      <c r="A16" s="28" t="s">
        <v>275</v>
      </c>
      <c r="B16" s="27">
        <f t="shared" si="5"/>
        <v>3197.8799999999992</v>
      </c>
      <c r="C16" s="27"/>
      <c r="D16" s="29">
        <f>'2-ф2'!D16</f>
        <v>0</v>
      </c>
      <c r="E16" s="29">
        <f>'2-ф2'!E16</f>
        <v>0</v>
      </c>
      <c r="F16" s="29">
        <f>'2-ф2'!F16</f>
        <v>0</v>
      </c>
      <c r="G16" s="29">
        <f>'2-ф2'!G16</f>
        <v>32.76</v>
      </c>
      <c r="H16" s="29">
        <f>'2-ф2'!H16</f>
        <v>32.76</v>
      </c>
      <c r="I16" s="29">
        <f>'2-ф2'!I16</f>
        <v>32.76</v>
      </c>
      <c r="J16" s="29">
        <f>'2-ф2'!J16</f>
        <v>32.76</v>
      </c>
      <c r="K16" s="29">
        <f>'2-ф2'!K16</f>
        <v>32.76</v>
      </c>
      <c r="L16" s="29">
        <f>'2-ф2'!L16</f>
        <v>32.76</v>
      </c>
      <c r="M16" s="29">
        <f>'2-ф2'!M16</f>
        <v>32.76</v>
      </c>
      <c r="N16" s="29">
        <f>'2-ф2'!N16</f>
        <v>32.76</v>
      </c>
      <c r="O16" s="29">
        <f>'2-ф2'!O16</f>
        <v>32.76</v>
      </c>
      <c r="P16" s="27">
        <f>SUM(D16:O16)</f>
        <v>294.83999999999997</v>
      </c>
      <c r="Q16" s="29">
        <f>'2-ф2'!Q16</f>
        <v>35.28</v>
      </c>
      <c r="R16" s="29">
        <f>'2-ф2'!R16</f>
        <v>35.28</v>
      </c>
      <c r="S16" s="29">
        <f>'2-ф2'!S16</f>
        <v>35.28</v>
      </c>
      <c r="T16" s="29">
        <f>'2-ф2'!T16</f>
        <v>35.28</v>
      </c>
      <c r="U16" s="29">
        <f>'2-ф2'!U16</f>
        <v>35.28</v>
      </c>
      <c r="V16" s="29">
        <f>'2-ф2'!V16</f>
        <v>35.28</v>
      </c>
      <c r="W16" s="29">
        <f>'2-ф2'!W16</f>
        <v>35.28</v>
      </c>
      <c r="X16" s="29">
        <f>'2-ф2'!X16</f>
        <v>35.28</v>
      </c>
      <c r="Y16" s="29">
        <f>'2-ф2'!Y16</f>
        <v>35.28</v>
      </c>
      <c r="Z16" s="29">
        <f>'2-ф2'!Z16</f>
        <v>35.28</v>
      </c>
      <c r="AA16" s="29">
        <f>'2-ф2'!AA16</f>
        <v>35.28</v>
      </c>
      <c r="AB16" s="29">
        <f>'2-ф2'!AB16</f>
        <v>35.28</v>
      </c>
      <c r="AC16" s="27">
        <f>SUM(Q16:AB16)</f>
        <v>423.3599999999999</v>
      </c>
      <c r="AD16" s="29">
        <f>'2-ф2'!AD16</f>
        <v>453.59999999999997</v>
      </c>
      <c r="AE16" s="29">
        <f>'2-ф2'!AE16</f>
        <v>483.84</v>
      </c>
      <c r="AF16" s="29">
        <f>'2-ф2'!AF16</f>
        <v>514.07999999999993</v>
      </c>
      <c r="AG16" s="29">
        <f>'2-ф2'!AG16</f>
        <v>514.07999999999993</v>
      </c>
      <c r="AH16" s="29">
        <f>'2-ф2'!AH16</f>
        <v>514.07999999999993</v>
      </c>
    </row>
    <row r="17" spans="1:46">
      <c r="A17" s="28" t="s">
        <v>34</v>
      </c>
      <c r="B17" s="27">
        <f t="shared" si="5"/>
        <v>0</v>
      </c>
      <c r="C17" s="27"/>
      <c r="D17" s="29">
        <f>'2-ф2'!D31</f>
        <v>0</v>
      </c>
      <c r="E17" s="29">
        <f>'2-ф2'!E31</f>
        <v>0</v>
      </c>
      <c r="F17" s="29">
        <f>'2-ф2'!F31</f>
        <v>0</v>
      </c>
      <c r="G17" s="29">
        <f>'2-ф2'!G31</f>
        <v>0</v>
      </c>
      <c r="H17" s="29">
        <f>'2-ф2'!H31</f>
        <v>0</v>
      </c>
      <c r="I17" s="29">
        <f>'2-ф2'!I31</f>
        <v>0</v>
      </c>
      <c r="J17" s="29">
        <f>'2-ф2'!J31</f>
        <v>0</v>
      </c>
      <c r="K17" s="29">
        <f>'2-ф2'!K31</f>
        <v>0</v>
      </c>
      <c r="L17" s="29">
        <f>'2-ф2'!L31</f>
        <v>0</v>
      </c>
      <c r="M17" s="29">
        <f>'2-ф2'!M31</f>
        <v>0</v>
      </c>
      <c r="N17" s="29">
        <f>'2-ф2'!N31</f>
        <v>0</v>
      </c>
      <c r="O17" s="29">
        <f>'2-ф2'!O31</f>
        <v>0</v>
      </c>
      <c r="P17" s="27">
        <f>SUM(D17:O17)</f>
        <v>0</v>
      </c>
      <c r="Q17" s="29">
        <f>'2-ф2'!Q31</f>
        <v>0</v>
      </c>
      <c r="R17" s="29">
        <f>'2-ф2'!R31</f>
        <v>0</v>
      </c>
      <c r="S17" s="29">
        <f>'2-ф2'!S31</f>
        <v>0</v>
      </c>
      <c r="T17" s="29">
        <f>'2-ф2'!T31</f>
        <v>0</v>
      </c>
      <c r="U17" s="29">
        <f>'2-ф2'!U31</f>
        <v>0</v>
      </c>
      <c r="V17" s="29">
        <f>'2-ф2'!V31</f>
        <v>0</v>
      </c>
      <c r="W17" s="29">
        <f>'2-ф2'!W31</f>
        <v>0</v>
      </c>
      <c r="X17" s="29">
        <f>'2-ф2'!X31</f>
        <v>0</v>
      </c>
      <c r="Y17" s="29">
        <f>'2-ф2'!Y31</f>
        <v>0</v>
      </c>
      <c r="Z17" s="29">
        <f>'2-ф2'!Z31</f>
        <v>0</v>
      </c>
      <c r="AA17" s="29">
        <f>'2-ф2'!AA31</f>
        <v>0</v>
      </c>
      <c r="AB17" s="29">
        <f>'2-ф2'!AB31</f>
        <v>0</v>
      </c>
      <c r="AC17" s="27">
        <f>SUM(Q17:AB17)</f>
        <v>0</v>
      </c>
      <c r="AD17" s="29">
        <f>'2-ф2'!AD31</f>
        <v>0</v>
      </c>
      <c r="AE17" s="29">
        <f>'2-ф2'!AE31</f>
        <v>0</v>
      </c>
      <c r="AF17" s="29">
        <f>'2-ф2'!AF31</f>
        <v>0</v>
      </c>
      <c r="AG17" s="29">
        <f>'2-ф2'!AG31</f>
        <v>0</v>
      </c>
      <c r="AH17" s="29">
        <f>'2-ф2'!AH31</f>
        <v>0</v>
      </c>
    </row>
    <row r="18" spans="1:46" s="21" customFormat="1" ht="25.5">
      <c r="A18" s="34" t="s">
        <v>19</v>
      </c>
      <c r="B18" s="18">
        <f>B9-B12</f>
        <v>29778.093899999993</v>
      </c>
      <c r="C18" s="18"/>
      <c r="D18" s="18">
        <f t="shared" ref="D18:AH18" si="7">D9-D12</f>
        <v>0</v>
      </c>
      <c r="E18" s="18">
        <f t="shared" si="7"/>
        <v>0</v>
      </c>
      <c r="F18" s="18">
        <f t="shared" si="7"/>
        <v>0</v>
      </c>
      <c r="G18" s="18">
        <f t="shared" si="7"/>
        <v>215.24189999999999</v>
      </c>
      <c r="H18" s="18">
        <f t="shared" si="7"/>
        <v>215.24189999999999</v>
      </c>
      <c r="I18" s="18">
        <f t="shared" si="7"/>
        <v>127.86270000000002</v>
      </c>
      <c r="J18" s="18">
        <f t="shared" si="7"/>
        <v>129.39566842105262</v>
      </c>
      <c r="K18" s="18">
        <f t="shared" si="7"/>
        <v>130.92863684210522</v>
      </c>
      <c r="L18" s="18">
        <f t="shared" si="7"/>
        <v>132.46160526315794</v>
      </c>
      <c r="M18" s="18">
        <f t="shared" si="7"/>
        <v>133.99457368421054</v>
      </c>
      <c r="N18" s="18">
        <f t="shared" si="7"/>
        <v>135.52754210526314</v>
      </c>
      <c r="O18" s="18">
        <f t="shared" si="7"/>
        <v>137.06051052631574</v>
      </c>
      <c r="P18" s="18">
        <f t="shared" si="7"/>
        <v>1357.7150368421044</v>
      </c>
      <c r="Q18" s="18">
        <f t="shared" si="7"/>
        <v>207.47077894736844</v>
      </c>
      <c r="R18" s="18">
        <f t="shared" si="7"/>
        <v>209.00374736842116</v>
      </c>
      <c r="S18" s="18">
        <f t="shared" si="7"/>
        <v>210.53671578947376</v>
      </c>
      <c r="T18" s="18">
        <f t="shared" si="7"/>
        <v>212.06968421052636</v>
      </c>
      <c r="U18" s="18">
        <f t="shared" si="7"/>
        <v>213.60265263157896</v>
      </c>
      <c r="V18" s="18">
        <f t="shared" si="7"/>
        <v>215.13562105263168</v>
      </c>
      <c r="W18" s="18">
        <f t="shared" si="7"/>
        <v>216.66858947368428</v>
      </c>
      <c r="X18" s="18">
        <f t="shared" si="7"/>
        <v>218.20155789473688</v>
      </c>
      <c r="Y18" s="18">
        <f t="shared" si="7"/>
        <v>219.73452631578948</v>
      </c>
      <c r="Z18" s="18">
        <f t="shared" si="7"/>
        <v>221.2674947368422</v>
      </c>
      <c r="AA18" s="18">
        <f t="shared" si="7"/>
        <v>222.8004631578948</v>
      </c>
      <c r="AB18" s="18">
        <f t="shared" si="7"/>
        <v>224.3334315789474</v>
      </c>
      <c r="AC18" s="18">
        <f t="shared" si="7"/>
        <v>2590.8252631578926</v>
      </c>
      <c r="AD18" s="18">
        <f t="shared" si="7"/>
        <v>3638.1003157894738</v>
      </c>
      <c r="AE18" s="18">
        <f t="shared" si="7"/>
        <v>4685.3753684210515</v>
      </c>
      <c r="AF18" s="18">
        <f t="shared" si="7"/>
        <v>5732.6504210526309</v>
      </c>
      <c r="AG18" s="18">
        <f t="shared" si="7"/>
        <v>5884.41429473684</v>
      </c>
      <c r="AH18" s="18">
        <f t="shared" si="7"/>
        <v>5889.0131999999976</v>
      </c>
      <c r="AP18" s="8"/>
      <c r="AQ18" s="8"/>
      <c r="AR18" s="8"/>
      <c r="AS18" s="8"/>
      <c r="AT18" s="8"/>
    </row>
    <row r="19" spans="1:46" s="21" customFormat="1">
      <c r="A19" s="22" t="s">
        <v>20</v>
      </c>
      <c r="B19" s="23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5"/>
      <c r="AD19" s="35"/>
      <c r="AE19" s="35"/>
      <c r="AF19" s="35"/>
      <c r="AG19" s="35"/>
      <c r="AH19" s="35"/>
      <c r="AP19" s="8"/>
      <c r="AQ19" s="8"/>
      <c r="AR19" s="8"/>
      <c r="AS19" s="8"/>
      <c r="AT19" s="8"/>
    </row>
    <row r="20" spans="1:46" s="21" customFormat="1">
      <c r="A20" s="26" t="s">
        <v>6</v>
      </c>
      <c r="B20" s="27"/>
      <c r="C20" s="2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7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7"/>
      <c r="AD20" s="27"/>
      <c r="AE20" s="27"/>
      <c r="AF20" s="27"/>
      <c r="AG20" s="27"/>
      <c r="AH20" s="27"/>
      <c r="AP20" s="8"/>
      <c r="AQ20" s="8"/>
      <c r="AR20" s="8"/>
      <c r="AS20" s="8"/>
      <c r="AT20" s="8"/>
    </row>
    <row r="21" spans="1:46" s="21" customFormat="1">
      <c r="A21" s="26" t="s">
        <v>7</v>
      </c>
      <c r="B21" s="27">
        <f>P21+AC21+AD21+AE21+AF21+AG21+AH21</f>
        <v>10656</v>
      </c>
      <c r="C21" s="27"/>
      <c r="D21" s="27">
        <f t="shared" ref="D21:AC21" si="8">SUM(D22:D23)</f>
        <v>0</v>
      </c>
      <c r="E21" s="27">
        <f t="shared" si="8"/>
        <v>5328</v>
      </c>
      <c r="F21" s="27">
        <f t="shared" si="8"/>
        <v>5328</v>
      </c>
      <c r="G21" s="27">
        <f t="shared" si="8"/>
        <v>0</v>
      </c>
      <c r="H21" s="27">
        <f>SUM(H22:H23)</f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7">
        <f t="shared" si="8"/>
        <v>0</v>
      </c>
      <c r="M21" s="27">
        <f t="shared" si="8"/>
        <v>0</v>
      </c>
      <c r="N21" s="27">
        <f t="shared" si="8"/>
        <v>0</v>
      </c>
      <c r="O21" s="27">
        <f t="shared" si="8"/>
        <v>0</v>
      </c>
      <c r="P21" s="27">
        <f t="shared" si="8"/>
        <v>10656</v>
      </c>
      <c r="Q21" s="27">
        <f t="shared" si="8"/>
        <v>0</v>
      </c>
      <c r="R21" s="27">
        <f t="shared" si="8"/>
        <v>0</v>
      </c>
      <c r="S21" s="27">
        <f t="shared" si="8"/>
        <v>0</v>
      </c>
      <c r="T21" s="27">
        <f t="shared" si="8"/>
        <v>0</v>
      </c>
      <c r="U21" s="27">
        <f t="shared" si="8"/>
        <v>0</v>
      </c>
      <c r="V21" s="27">
        <f t="shared" si="8"/>
        <v>0</v>
      </c>
      <c r="W21" s="27">
        <f t="shared" si="8"/>
        <v>0</v>
      </c>
      <c r="X21" s="27">
        <f t="shared" si="8"/>
        <v>0</v>
      </c>
      <c r="Y21" s="27">
        <f t="shared" si="8"/>
        <v>0</v>
      </c>
      <c r="Z21" s="27">
        <f t="shared" si="8"/>
        <v>0</v>
      </c>
      <c r="AA21" s="27">
        <f t="shared" si="8"/>
        <v>0</v>
      </c>
      <c r="AB21" s="27">
        <f t="shared" si="8"/>
        <v>0</v>
      </c>
      <c r="AC21" s="27">
        <f t="shared" si="8"/>
        <v>0</v>
      </c>
      <c r="AD21" s="27">
        <f>SUM(AD22:AD23)</f>
        <v>0</v>
      </c>
      <c r="AE21" s="27">
        <f>SUM(AE22:AE23)</f>
        <v>0</v>
      </c>
      <c r="AF21" s="27">
        <f>SUM(AF22:AF23)</f>
        <v>0</v>
      </c>
      <c r="AG21" s="27">
        <f>SUM(AG22:AG23)</f>
        <v>0</v>
      </c>
      <c r="AH21" s="27">
        <f>SUM(AH22:AH23)</f>
        <v>0</v>
      </c>
      <c r="AP21" s="8"/>
      <c r="AQ21" s="8"/>
      <c r="AR21" s="8"/>
      <c r="AS21" s="8"/>
      <c r="AT21" s="8"/>
    </row>
    <row r="22" spans="1:46">
      <c r="A22" s="37" t="s">
        <v>21</v>
      </c>
      <c r="B22" s="27">
        <f>P22+AC22+AD22+AE22+AF22+AG22+AH22</f>
        <v>10656</v>
      </c>
      <c r="C22" s="27"/>
      <c r="D22" s="29">
        <f>Инв!E14</f>
        <v>0</v>
      </c>
      <c r="E22" s="29">
        <f>Инв!F14</f>
        <v>5328</v>
      </c>
      <c r="F22" s="29">
        <f>Инв!G14</f>
        <v>5328</v>
      </c>
      <c r="G22" s="29">
        <f>Инв!H14</f>
        <v>0</v>
      </c>
      <c r="H22" s="29">
        <f>Инв!I14</f>
        <v>0</v>
      </c>
      <c r="I22" s="29">
        <f>Инв!J14</f>
        <v>0</v>
      </c>
      <c r="J22" s="29">
        <f>Инв!K14</f>
        <v>0</v>
      </c>
      <c r="K22" s="29">
        <f>Инв!L14</f>
        <v>0</v>
      </c>
      <c r="L22" s="29">
        <f>Инв!M14</f>
        <v>0</v>
      </c>
      <c r="M22" s="29">
        <f>Инв!N14</f>
        <v>0</v>
      </c>
      <c r="N22" s="29">
        <f>Инв!O14</f>
        <v>0</v>
      </c>
      <c r="O22" s="29">
        <f>Инв!P14</f>
        <v>0</v>
      </c>
      <c r="P22" s="27">
        <f>SUM(D22:O22)</f>
        <v>10656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>
        <f>SUM(Q22:AB22)</f>
        <v>0</v>
      </c>
      <c r="AD22" s="27"/>
      <c r="AE22" s="27"/>
      <c r="AF22" s="27"/>
      <c r="AG22" s="27"/>
      <c r="AH22" s="27"/>
    </row>
    <row r="23" spans="1:46" outlineLevel="1">
      <c r="A23" s="37"/>
      <c r="B23" s="27"/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/>
      <c r="AD23" s="27"/>
      <c r="AE23" s="27"/>
      <c r="AF23" s="27"/>
      <c r="AG23" s="27"/>
      <c r="AH23" s="27"/>
    </row>
    <row r="24" spans="1:46" s="21" customFormat="1" ht="25.5">
      <c r="A24" s="38" t="s">
        <v>22</v>
      </c>
      <c r="B24" s="18">
        <f>B20-B21</f>
        <v>-10656</v>
      </c>
      <c r="C24" s="18"/>
      <c r="D24" s="18">
        <f>D20-D21</f>
        <v>0</v>
      </c>
      <c r="E24" s="18">
        <f t="shared" ref="E24:O24" si="9">E20-E21</f>
        <v>-5328</v>
      </c>
      <c r="F24" s="18">
        <f t="shared" si="9"/>
        <v>-5328</v>
      </c>
      <c r="G24" s="18">
        <f t="shared" si="9"/>
        <v>0</v>
      </c>
      <c r="H24" s="18">
        <f t="shared" si="9"/>
        <v>0</v>
      </c>
      <c r="I24" s="18">
        <f t="shared" si="9"/>
        <v>0</v>
      </c>
      <c r="J24" s="18">
        <f>J20-J21</f>
        <v>0</v>
      </c>
      <c r="K24" s="18">
        <f t="shared" si="9"/>
        <v>0</v>
      </c>
      <c r="L24" s="18">
        <f t="shared" si="9"/>
        <v>0</v>
      </c>
      <c r="M24" s="18">
        <f t="shared" si="9"/>
        <v>0</v>
      </c>
      <c r="N24" s="18">
        <f t="shared" si="9"/>
        <v>0</v>
      </c>
      <c r="O24" s="18">
        <f t="shared" si="9"/>
        <v>0</v>
      </c>
      <c r="P24" s="18">
        <f>SUM(D24:O24)</f>
        <v>-10656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P24" s="8"/>
      <c r="AQ24" s="8"/>
      <c r="AR24" s="8"/>
      <c r="AS24" s="8"/>
      <c r="AT24" s="8"/>
    </row>
    <row r="25" spans="1:46" s="42" customFormat="1">
      <c r="A25" s="39" t="s">
        <v>23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D25" s="41"/>
      <c r="AE25" s="41"/>
      <c r="AF25" s="41"/>
      <c r="AG25" s="41"/>
      <c r="AH25" s="41"/>
      <c r="AP25" s="8"/>
      <c r="AQ25" s="8"/>
      <c r="AR25" s="8"/>
      <c r="AS25" s="8"/>
      <c r="AT25" s="8"/>
    </row>
    <row r="26" spans="1:46" s="21" customFormat="1">
      <c r="A26" s="22" t="s">
        <v>24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5"/>
      <c r="AD26" s="35"/>
      <c r="AE26" s="35"/>
      <c r="AF26" s="35"/>
      <c r="AG26" s="35"/>
      <c r="AH26" s="35"/>
      <c r="AP26" s="8"/>
      <c r="AQ26" s="8"/>
      <c r="AR26" s="8"/>
      <c r="AS26" s="8"/>
      <c r="AT26" s="8"/>
    </row>
    <row r="27" spans="1:46" s="21" customFormat="1">
      <c r="A27" s="26" t="s">
        <v>6</v>
      </c>
      <c r="B27" s="27">
        <f>SUM(B28:B29)</f>
        <v>10656</v>
      </c>
      <c r="C27" s="27"/>
      <c r="D27" s="27">
        <f>SUM(D28:D29)</f>
        <v>0</v>
      </c>
      <c r="E27" s="27">
        <f t="shared" ref="E27:O27" si="10">SUM(E28:E29)</f>
        <v>5328</v>
      </c>
      <c r="F27" s="27">
        <f t="shared" si="10"/>
        <v>5328</v>
      </c>
      <c r="G27" s="27">
        <f t="shared" si="10"/>
        <v>0</v>
      </c>
      <c r="H27" s="27">
        <f t="shared" si="10"/>
        <v>0</v>
      </c>
      <c r="I27" s="27">
        <f t="shared" si="10"/>
        <v>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7">
        <f t="shared" ref="P27:AD27" si="11">SUM(P28:P29)</f>
        <v>10656</v>
      </c>
      <c r="Q27" s="27">
        <f t="shared" si="11"/>
        <v>0</v>
      </c>
      <c r="R27" s="27">
        <f t="shared" si="11"/>
        <v>0</v>
      </c>
      <c r="S27" s="27">
        <f t="shared" si="11"/>
        <v>0</v>
      </c>
      <c r="T27" s="27">
        <f t="shared" si="11"/>
        <v>0</v>
      </c>
      <c r="U27" s="27">
        <f t="shared" si="11"/>
        <v>0</v>
      </c>
      <c r="V27" s="27">
        <f t="shared" si="11"/>
        <v>0</v>
      </c>
      <c r="W27" s="27">
        <f t="shared" si="11"/>
        <v>0</v>
      </c>
      <c r="X27" s="27">
        <f t="shared" si="11"/>
        <v>0</v>
      </c>
      <c r="Y27" s="27">
        <f t="shared" si="11"/>
        <v>0</v>
      </c>
      <c r="Z27" s="27">
        <f t="shared" si="11"/>
        <v>0</v>
      </c>
      <c r="AA27" s="27">
        <f t="shared" si="11"/>
        <v>0</v>
      </c>
      <c r="AB27" s="27">
        <f t="shared" si="11"/>
        <v>0</v>
      </c>
      <c r="AC27" s="27">
        <f t="shared" si="11"/>
        <v>0</v>
      </c>
      <c r="AD27" s="27">
        <f t="shared" si="11"/>
        <v>0</v>
      </c>
      <c r="AE27" s="27">
        <f>SUM(AE28:AE29)</f>
        <v>0</v>
      </c>
      <c r="AF27" s="27">
        <f>SUM(AF28:AF29)</f>
        <v>0</v>
      </c>
      <c r="AG27" s="27">
        <f>SUM(AG28:AG29)</f>
        <v>0</v>
      </c>
      <c r="AH27" s="27">
        <f>SUM(AH28:AH29)</f>
        <v>0</v>
      </c>
      <c r="AP27" s="8"/>
      <c r="AQ27" s="8"/>
      <c r="AR27" s="8"/>
      <c r="AS27" s="8"/>
      <c r="AT27" s="8"/>
    </row>
    <row r="28" spans="1:46" ht="12.75" customHeight="1">
      <c r="A28" s="37" t="s">
        <v>56</v>
      </c>
      <c r="B28" s="27">
        <f>P28+AC28+AD28+AE28+AF28+AG28+AH28</f>
        <v>2131.2000000000003</v>
      </c>
      <c r="C28" s="27"/>
      <c r="D28" s="29">
        <f>(-D18-D24)*Исх!$C$8</f>
        <v>0</v>
      </c>
      <c r="E28" s="29">
        <f>(-E18-E24)*Исх!$C$8</f>
        <v>1065.6000000000001</v>
      </c>
      <c r="F28" s="29">
        <f>(-F18-F24)*Исх!$C$8</f>
        <v>1065.6000000000001</v>
      </c>
      <c r="G28" s="29"/>
      <c r="H28" s="29"/>
      <c r="I28" s="29"/>
      <c r="J28" s="29"/>
      <c r="K28" s="29"/>
      <c r="L28" s="29"/>
      <c r="M28" s="29"/>
      <c r="N28" s="29"/>
      <c r="O28" s="29"/>
      <c r="P28" s="27">
        <f>SUM(D28:O28)</f>
        <v>2131.2000000000003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7"/>
      <c r="AE28" s="27"/>
      <c r="AF28" s="27"/>
      <c r="AG28" s="27"/>
      <c r="AH28" s="27"/>
    </row>
    <row r="29" spans="1:46">
      <c r="A29" s="43" t="s">
        <v>174</v>
      </c>
      <c r="B29" s="27">
        <f>P29+AC29+AD29+AE29+AF29+AG29+AH29</f>
        <v>8524.7999999999993</v>
      </c>
      <c r="C29" s="27"/>
      <c r="D29" s="44">
        <f>(-D18-D24)-D28</f>
        <v>0</v>
      </c>
      <c r="E29" s="44">
        <f>(-E18-E24)-E28</f>
        <v>4262.3999999999996</v>
      </c>
      <c r="F29" s="44">
        <f>(-F18-F24)-F28</f>
        <v>4262.3999999999996</v>
      </c>
      <c r="G29" s="44"/>
      <c r="H29" s="44"/>
      <c r="I29" s="44"/>
      <c r="J29" s="44"/>
      <c r="K29" s="44"/>
      <c r="L29" s="44"/>
      <c r="M29" s="44"/>
      <c r="N29" s="44"/>
      <c r="O29" s="44"/>
      <c r="P29" s="27">
        <f>SUM(D29:O29)</f>
        <v>8524.7999999999993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7">
        <f>SUM(Q29:AB29)</f>
        <v>0</v>
      </c>
      <c r="AD29" s="27"/>
      <c r="AE29" s="27"/>
      <c r="AF29" s="27"/>
      <c r="AG29" s="27"/>
      <c r="AH29" s="27"/>
    </row>
    <row r="30" spans="1:46" s="21" customFormat="1">
      <c r="A30" s="26" t="s">
        <v>7</v>
      </c>
      <c r="B30" s="27">
        <f>SUM(B31:B32)</f>
        <v>8737.9199999999983</v>
      </c>
      <c r="C30" s="27"/>
      <c r="D30" s="27">
        <f>SUM(D31:D32)</f>
        <v>0</v>
      </c>
      <c r="E30" s="27">
        <f t="shared" ref="E30:AF30" si="12">SUM(E31:E32)</f>
        <v>0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>SUM(I31:I32)</f>
        <v>153.29684210526315</v>
      </c>
      <c r="J30" s="27">
        <f t="shared" si="12"/>
        <v>153.29684210526315</v>
      </c>
      <c r="K30" s="27">
        <f t="shared" si="12"/>
        <v>153.29684210526315</v>
      </c>
      <c r="L30" s="27">
        <f t="shared" si="12"/>
        <v>153.29684210526315</v>
      </c>
      <c r="M30" s="27">
        <f t="shared" si="12"/>
        <v>153.29684210526315</v>
      </c>
      <c r="N30" s="27">
        <f t="shared" si="12"/>
        <v>153.29684210526315</v>
      </c>
      <c r="O30" s="27">
        <f t="shared" si="12"/>
        <v>153.29684210526315</v>
      </c>
      <c r="P30" s="27">
        <f t="shared" si="12"/>
        <v>1073.0778947368422</v>
      </c>
      <c r="Q30" s="27">
        <f t="shared" si="12"/>
        <v>153.29684210526315</v>
      </c>
      <c r="R30" s="27">
        <f t="shared" si="12"/>
        <v>153.29684210526315</v>
      </c>
      <c r="S30" s="27">
        <f t="shared" si="12"/>
        <v>153.29684210526315</v>
      </c>
      <c r="T30" s="27">
        <f t="shared" si="12"/>
        <v>153.29684210526315</v>
      </c>
      <c r="U30" s="27">
        <f t="shared" si="12"/>
        <v>153.29684210526315</v>
      </c>
      <c r="V30" s="27">
        <f t="shared" si="12"/>
        <v>153.29684210526315</v>
      </c>
      <c r="W30" s="27">
        <f t="shared" si="12"/>
        <v>153.29684210526315</v>
      </c>
      <c r="X30" s="27">
        <f t="shared" si="12"/>
        <v>153.29684210526315</v>
      </c>
      <c r="Y30" s="27">
        <f t="shared" si="12"/>
        <v>153.29684210526315</v>
      </c>
      <c r="Z30" s="27">
        <f t="shared" si="12"/>
        <v>153.29684210526315</v>
      </c>
      <c r="AA30" s="27">
        <f t="shared" si="12"/>
        <v>153.29684210526315</v>
      </c>
      <c r="AB30" s="27">
        <f t="shared" si="12"/>
        <v>153.29684210526315</v>
      </c>
      <c r="AC30" s="27">
        <f t="shared" si="12"/>
        <v>1839.5621052631575</v>
      </c>
      <c r="AD30" s="27">
        <f t="shared" si="12"/>
        <v>1839.5621052631575</v>
      </c>
      <c r="AE30" s="27">
        <f t="shared" si="12"/>
        <v>1839.5621052631575</v>
      </c>
      <c r="AF30" s="27">
        <f t="shared" si="12"/>
        <v>1839.5621052631575</v>
      </c>
      <c r="AG30" s="27">
        <f>SUM(AG31:AG32)</f>
        <v>306.59368421052631</v>
      </c>
      <c r="AH30" s="27">
        <f>SUM(AH31:AH32)</f>
        <v>0</v>
      </c>
      <c r="AP30" s="8"/>
      <c r="AQ30" s="8"/>
      <c r="AR30" s="8"/>
      <c r="AS30" s="8"/>
      <c r="AT30" s="8"/>
    </row>
    <row r="31" spans="1:46">
      <c r="A31" s="28" t="s">
        <v>33</v>
      </c>
      <c r="B31" s="27">
        <f>P31+AC31+AD31+AE31+AF31+AG31+AH31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27">
        <f>SUM(D31:O31)</f>
        <v>0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27">
        <f>SUM(Q31:AB31)</f>
        <v>0</v>
      </c>
      <c r="AD31" s="27"/>
      <c r="AE31" s="27"/>
      <c r="AF31" s="27"/>
      <c r="AG31" s="27"/>
      <c r="AH31" s="27"/>
    </row>
    <row r="32" spans="1:46" ht="13.5" customHeight="1">
      <c r="A32" s="37" t="s">
        <v>173</v>
      </c>
      <c r="B32" s="27">
        <f>P32+AC32+AD32+AE32+AF32+AG32+AH32</f>
        <v>8737.9199999999983</v>
      </c>
      <c r="C32" s="27"/>
      <c r="D32" s="33">
        <f>кр!C10</f>
        <v>0</v>
      </c>
      <c r="E32" s="33">
        <f>кр!D10</f>
        <v>0</v>
      </c>
      <c r="F32" s="33">
        <f>кр!E10</f>
        <v>0</v>
      </c>
      <c r="G32" s="33">
        <f>кр!F10</f>
        <v>0</v>
      </c>
      <c r="H32" s="33">
        <f>кр!G10</f>
        <v>0</v>
      </c>
      <c r="I32" s="33">
        <f>кр!H10</f>
        <v>153.29684210526315</v>
      </c>
      <c r="J32" s="33">
        <f>кр!I10</f>
        <v>153.29684210526315</v>
      </c>
      <c r="K32" s="33">
        <f>кр!J10</f>
        <v>153.29684210526315</v>
      </c>
      <c r="L32" s="33">
        <f>кр!K10</f>
        <v>153.29684210526315</v>
      </c>
      <c r="M32" s="33">
        <f>кр!L10</f>
        <v>153.29684210526315</v>
      </c>
      <c r="N32" s="33">
        <f>кр!M10</f>
        <v>153.29684210526315</v>
      </c>
      <c r="O32" s="33">
        <f>кр!N10</f>
        <v>153.29684210526315</v>
      </c>
      <c r="P32" s="27">
        <f>SUM(D32:O32)</f>
        <v>1073.0778947368422</v>
      </c>
      <c r="Q32" s="33">
        <f>кр!P10</f>
        <v>153.29684210526315</v>
      </c>
      <c r="R32" s="33">
        <f>кр!Q10</f>
        <v>153.29684210526315</v>
      </c>
      <c r="S32" s="33">
        <f>кр!R10</f>
        <v>153.29684210526315</v>
      </c>
      <c r="T32" s="33">
        <f>кр!S10</f>
        <v>153.29684210526315</v>
      </c>
      <c r="U32" s="33">
        <f>кр!T10</f>
        <v>153.29684210526315</v>
      </c>
      <c r="V32" s="33">
        <f>кр!U10</f>
        <v>153.29684210526315</v>
      </c>
      <c r="W32" s="33">
        <f>кр!V10</f>
        <v>153.29684210526315</v>
      </c>
      <c r="X32" s="33">
        <f>кр!W10</f>
        <v>153.29684210526315</v>
      </c>
      <c r="Y32" s="33">
        <f>кр!X10</f>
        <v>153.29684210526315</v>
      </c>
      <c r="Z32" s="33">
        <f>кр!Y10</f>
        <v>153.29684210526315</v>
      </c>
      <c r="AA32" s="33">
        <f>кр!Z10</f>
        <v>153.29684210526315</v>
      </c>
      <c r="AB32" s="33">
        <f>кр!AA10</f>
        <v>153.29684210526315</v>
      </c>
      <c r="AC32" s="27">
        <f>SUM(Q32:AB32)</f>
        <v>1839.5621052631575</v>
      </c>
      <c r="AD32" s="33">
        <f>кр!AO10</f>
        <v>1839.5621052631575</v>
      </c>
      <c r="AE32" s="33">
        <f>кр!BB10</f>
        <v>1839.5621052631575</v>
      </c>
      <c r="AF32" s="33">
        <f>кр!BO10</f>
        <v>1839.5621052631575</v>
      </c>
      <c r="AG32" s="33">
        <f>кр!CB10</f>
        <v>306.59368421052631</v>
      </c>
      <c r="AH32" s="33">
        <f>кр!CO10</f>
        <v>0</v>
      </c>
    </row>
    <row r="33" spans="1:46" s="21" customFormat="1" ht="25.5">
      <c r="A33" s="38" t="s">
        <v>25</v>
      </c>
      <c r="B33" s="18">
        <f>B27-B30</f>
        <v>1918.0800000000017</v>
      </c>
      <c r="C33" s="18"/>
      <c r="D33" s="18">
        <f>D27-D30</f>
        <v>0</v>
      </c>
      <c r="E33" s="18">
        <f t="shared" ref="E33:AF33" si="13">E27-E30</f>
        <v>5328</v>
      </c>
      <c r="F33" s="18">
        <f t="shared" si="13"/>
        <v>5328</v>
      </c>
      <c r="G33" s="18">
        <f t="shared" si="13"/>
        <v>0</v>
      </c>
      <c r="H33" s="18">
        <f t="shared" si="13"/>
        <v>0</v>
      </c>
      <c r="I33" s="18">
        <f t="shared" si="13"/>
        <v>-153.29684210526315</v>
      </c>
      <c r="J33" s="18">
        <f t="shared" si="13"/>
        <v>-153.29684210526315</v>
      </c>
      <c r="K33" s="18">
        <f t="shared" si="13"/>
        <v>-153.29684210526315</v>
      </c>
      <c r="L33" s="18">
        <f t="shared" si="13"/>
        <v>-153.29684210526315</v>
      </c>
      <c r="M33" s="18">
        <f t="shared" si="13"/>
        <v>-153.29684210526315</v>
      </c>
      <c r="N33" s="18">
        <f t="shared" si="13"/>
        <v>-153.29684210526315</v>
      </c>
      <c r="O33" s="18">
        <f t="shared" si="13"/>
        <v>-153.29684210526315</v>
      </c>
      <c r="P33" s="18">
        <f t="shared" si="13"/>
        <v>9582.9221052631583</v>
      </c>
      <c r="Q33" s="18">
        <f t="shared" si="13"/>
        <v>-153.29684210526315</v>
      </c>
      <c r="R33" s="18">
        <f t="shared" si="13"/>
        <v>-153.29684210526315</v>
      </c>
      <c r="S33" s="18">
        <f t="shared" si="13"/>
        <v>-153.29684210526315</v>
      </c>
      <c r="T33" s="18">
        <f t="shared" si="13"/>
        <v>-153.29684210526315</v>
      </c>
      <c r="U33" s="18">
        <f t="shared" si="13"/>
        <v>-153.29684210526315</v>
      </c>
      <c r="V33" s="18">
        <f t="shared" si="13"/>
        <v>-153.29684210526315</v>
      </c>
      <c r="W33" s="18">
        <f t="shared" si="13"/>
        <v>-153.29684210526315</v>
      </c>
      <c r="X33" s="18">
        <f t="shared" si="13"/>
        <v>-153.29684210526315</v>
      </c>
      <c r="Y33" s="18">
        <f t="shared" si="13"/>
        <v>-153.29684210526315</v>
      </c>
      <c r="Z33" s="18">
        <f t="shared" si="13"/>
        <v>-153.29684210526315</v>
      </c>
      <c r="AA33" s="18">
        <f t="shared" si="13"/>
        <v>-153.29684210526315</v>
      </c>
      <c r="AB33" s="18">
        <f t="shared" si="13"/>
        <v>-153.29684210526315</v>
      </c>
      <c r="AC33" s="18">
        <f t="shared" si="13"/>
        <v>-1839.5621052631575</v>
      </c>
      <c r="AD33" s="18">
        <f t="shared" si="13"/>
        <v>-1839.5621052631575</v>
      </c>
      <c r="AE33" s="18">
        <f t="shared" si="13"/>
        <v>-1839.5621052631575</v>
      </c>
      <c r="AF33" s="18">
        <f t="shared" si="13"/>
        <v>-1839.5621052631575</v>
      </c>
      <c r="AG33" s="18">
        <f>AG27-AG30</f>
        <v>-306.59368421052631</v>
      </c>
      <c r="AH33" s="18">
        <f>AH27-AH30</f>
        <v>0</v>
      </c>
      <c r="AP33" s="8"/>
      <c r="AQ33" s="8"/>
      <c r="AR33" s="8"/>
      <c r="AS33" s="8"/>
      <c r="AT33" s="8"/>
    </row>
    <row r="34" spans="1:46" s="47" customFormat="1">
      <c r="A34" s="45" t="s">
        <v>26</v>
      </c>
      <c r="B34" s="46">
        <f>B18+B24+B33</f>
        <v>21040.173899999994</v>
      </c>
      <c r="C34" s="27"/>
      <c r="D34" s="46">
        <f>D18+D24+D33</f>
        <v>0</v>
      </c>
      <c r="E34" s="46">
        <f t="shared" ref="E34:AF34" si="14">E18+E24+E33</f>
        <v>0</v>
      </c>
      <c r="F34" s="46">
        <f t="shared" si="14"/>
        <v>0</v>
      </c>
      <c r="G34" s="46">
        <f t="shared" si="14"/>
        <v>215.24189999999999</v>
      </c>
      <c r="H34" s="46">
        <f t="shared" si="14"/>
        <v>215.24189999999999</v>
      </c>
      <c r="I34" s="46">
        <f t="shared" si="14"/>
        <v>-25.434142105263135</v>
      </c>
      <c r="J34" s="46">
        <f t="shared" si="14"/>
        <v>-23.901173684210534</v>
      </c>
      <c r="K34" s="46">
        <f t="shared" si="14"/>
        <v>-22.368205263157932</v>
      </c>
      <c r="L34" s="46">
        <f t="shared" si="14"/>
        <v>-20.835236842105218</v>
      </c>
      <c r="M34" s="46">
        <f t="shared" si="14"/>
        <v>-19.302268421052617</v>
      </c>
      <c r="N34" s="46">
        <f t="shared" si="14"/>
        <v>-17.769300000000015</v>
      </c>
      <c r="O34" s="46">
        <f t="shared" si="14"/>
        <v>-16.236331578947414</v>
      </c>
      <c r="P34" s="46">
        <f t="shared" si="14"/>
        <v>284.63714210526268</v>
      </c>
      <c r="Q34" s="46">
        <f t="shared" si="14"/>
        <v>54.173936842105292</v>
      </c>
      <c r="R34" s="46">
        <f t="shared" si="14"/>
        <v>55.706905263158006</v>
      </c>
      <c r="S34" s="46">
        <f t="shared" si="14"/>
        <v>57.239873684210608</v>
      </c>
      <c r="T34" s="46">
        <f t="shared" si="14"/>
        <v>58.772842105263209</v>
      </c>
      <c r="U34" s="46">
        <f t="shared" si="14"/>
        <v>60.30581052631581</v>
      </c>
      <c r="V34" s="46">
        <f t="shared" si="14"/>
        <v>61.838778947368525</v>
      </c>
      <c r="W34" s="46">
        <f t="shared" si="14"/>
        <v>63.371747368421126</v>
      </c>
      <c r="X34" s="46">
        <f t="shared" si="14"/>
        <v>64.904715789473727</v>
      </c>
      <c r="Y34" s="46">
        <f t="shared" si="14"/>
        <v>66.437684210526328</v>
      </c>
      <c r="Z34" s="46">
        <f t="shared" si="14"/>
        <v>67.970652631579043</v>
      </c>
      <c r="AA34" s="46">
        <f t="shared" si="14"/>
        <v>69.503621052631644</v>
      </c>
      <c r="AB34" s="46">
        <f t="shared" si="14"/>
        <v>71.036589473684245</v>
      </c>
      <c r="AC34" s="46">
        <f>AC18+AC24+AC33</f>
        <v>751.26315789473506</v>
      </c>
      <c r="AD34" s="46">
        <f t="shared" si="14"/>
        <v>1798.5382105263163</v>
      </c>
      <c r="AE34" s="46">
        <f t="shared" si="14"/>
        <v>2845.8132631578937</v>
      </c>
      <c r="AF34" s="46">
        <f t="shared" si="14"/>
        <v>3893.0883157894732</v>
      </c>
      <c r="AG34" s="46">
        <f>AG18+AG24+AG33</f>
        <v>5577.8206105263134</v>
      </c>
      <c r="AH34" s="46">
        <f>AH18+AH24+AH33</f>
        <v>5889.0131999999976</v>
      </c>
      <c r="AP34" s="8"/>
      <c r="AQ34" s="8"/>
      <c r="AR34" s="8"/>
      <c r="AS34" s="8"/>
      <c r="AT34" s="8"/>
    </row>
    <row r="35" spans="1:46" s="21" customFormat="1">
      <c r="A35" s="48" t="s">
        <v>55</v>
      </c>
      <c r="B35" s="27">
        <f>B7+B18+B24+B33</f>
        <v>21040.173899999994</v>
      </c>
      <c r="C35" s="49"/>
      <c r="D35" s="50">
        <f t="shared" ref="D35:O35" si="15">D7+D18+D24+D33</f>
        <v>0</v>
      </c>
      <c r="E35" s="50">
        <f t="shared" si="15"/>
        <v>0</v>
      </c>
      <c r="F35" s="50">
        <f t="shared" si="15"/>
        <v>0</v>
      </c>
      <c r="G35" s="50">
        <f t="shared" si="15"/>
        <v>215.24189999999999</v>
      </c>
      <c r="H35" s="50">
        <f t="shared" si="15"/>
        <v>430.48379999999997</v>
      </c>
      <c r="I35" s="50">
        <f t="shared" si="15"/>
        <v>405.04965789473681</v>
      </c>
      <c r="J35" s="50">
        <f t="shared" si="15"/>
        <v>381.14848421052625</v>
      </c>
      <c r="K35" s="50">
        <f t="shared" si="15"/>
        <v>358.78027894736829</v>
      </c>
      <c r="L35" s="50">
        <f t="shared" si="15"/>
        <v>337.94504210526304</v>
      </c>
      <c r="M35" s="50">
        <f t="shared" si="15"/>
        <v>318.6427736842104</v>
      </c>
      <c r="N35" s="50">
        <f t="shared" si="15"/>
        <v>300.87347368421035</v>
      </c>
      <c r="O35" s="50">
        <f t="shared" si="15"/>
        <v>284.63714210526291</v>
      </c>
      <c r="P35" s="51">
        <f>O35</f>
        <v>284.63714210526291</v>
      </c>
      <c r="Q35" s="50">
        <f>P35+Q18+Q24+Q33</f>
        <v>338.81107894736817</v>
      </c>
      <c r="R35" s="50">
        <f t="shared" ref="R35:AB35" si="16">Q35+R18+R24+R33</f>
        <v>394.51798421052615</v>
      </c>
      <c r="S35" s="50">
        <f t="shared" si="16"/>
        <v>451.75785789473673</v>
      </c>
      <c r="T35" s="50">
        <f t="shared" si="16"/>
        <v>510.53069999999991</v>
      </c>
      <c r="U35" s="50">
        <f t="shared" si="16"/>
        <v>570.83651052631569</v>
      </c>
      <c r="V35" s="50">
        <f t="shared" si="16"/>
        <v>632.67528947368419</v>
      </c>
      <c r="W35" s="50">
        <f t="shared" si="16"/>
        <v>696.04703684210529</v>
      </c>
      <c r="X35" s="50">
        <f t="shared" si="16"/>
        <v>760.95175263157898</v>
      </c>
      <c r="Y35" s="50">
        <f t="shared" si="16"/>
        <v>827.38943684210528</v>
      </c>
      <c r="Z35" s="50">
        <f t="shared" si="16"/>
        <v>895.3600894736843</v>
      </c>
      <c r="AA35" s="50">
        <f t="shared" si="16"/>
        <v>964.86371052631591</v>
      </c>
      <c r="AB35" s="50">
        <f t="shared" si="16"/>
        <v>1035.9003000000002</v>
      </c>
      <c r="AC35" s="50">
        <f>AB35</f>
        <v>1035.9003000000002</v>
      </c>
      <c r="AD35" s="50">
        <f>AC35+AD18+AD24+AD33</f>
        <v>2834.4385105263163</v>
      </c>
      <c r="AE35" s="50">
        <f>AD35+AE18+AE24+AE33</f>
        <v>5680.2517736842101</v>
      </c>
      <c r="AF35" s="50">
        <f>AE35+AF18+AF24+AF33</f>
        <v>9573.3400894736842</v>
      </c>
      <c r="AG35" s="50">
        <f>AF35+AG18+AG24+AG33</f>
        <v>15151.160699999999</v>
      </c>
      <c r="AH35" s="50">
        <f>AG35+AH18+AH24+AH33</f>
        <v>21040.173899999994</v>
      </c>
      <c r="AI35" s="7">
        <v>2012</v>
      </c>
      <c r="AJ35" s="7">
        <f t="shared" ref="AJ35:AM36" si="17">AI35+1</f>
        <v>2013</v>
      </c>
      <c r="AK35" s="7">
        <f t="shared" si="17"/>
        <v>2014</v>
      </c>
      <c r="AL35" s="7">
        <f t="shared" si="17"/>
        <v>2015</v>
      </c>
      <c r="AM35" s="7">
        <f t="shared" si="17"/>
        <v>2016</v>
      </c>
      <c r="AN35" s="7">
        <f>AM35+1</f>
        <v>2017</v>
      </c>
      <c r="AO35" s="7">
        <f>AN35+1</f>
        <v>2018</v>
      </c>
      <c r="AP35" s="8"/>
      <c r="AQ35" s="8"/>
      <c r="AR35" s="8"/>
      <c r="AS35" s="8"/>
      <c r="AT35" s="8"/>
    </row>
    <row r="36" spans="1:46">
      <c r="A36" s="52"/>
      <c r="B36" s="53">
        <f>AH35</f>
        <v>21040.173899999994</v>
      </c>
      <c r="C36" s="54"/>
      <c r="D36" s="55">
        <f t="shared" ref="D36:AH36" si="18">D7+D34-D35</f>
        <v>0</v>
      </c>
      <c r="E36" s="55">
        <f t="shared" si="18"/>
        <v>0</v>
      </c>
      <c r="F36" s="55">
        <f t="shared" si="18"/>
        <v>0</v>
      </c>
      <c r="G36" s="55">
        <f t="shared" si="18"/>
        <v>0</v>
      </c>
      <c r="H36" s="55">
        <f t="shared" si="18"/>
        <v>0</v>
      </c>
      <c r="I36" s="55">
        <f t="shared" si="18"/>
        <v>0</v>
      </c>
      <c r="J36" s="55">
        <f t="shared" si="18"/>
        <v>0</v>
      </c>
      <c r="K36" s="55">
        <f t="shared" si="18"/>
        <v>0</v>
      </c>
      <c r="L36" s="55">
        <f t="shared" si="18"/>
        <v>0</v>
      </c>
      <c r="M36" s="55">
        <f t="shared" si="18"/>
        <v>0</v>
      </c>
      <c r="N36" s="55">
        <f t="shared" si="18"/>
        <v>0</v>
      </c>
      <c r="O36" s="55">
        <f t="shared" si="18"/>
        <v>0</v>
      </c>
      <c r="P36" s="55">
        <f t="shared" si="18"/>
        <v>0</v>
      </c>
      <c r="Q36" s="55">
        <f t="shared" si="18"/>
        <v>0</v>
      </c>
      <c r="R36" s="55">
        <f t="shared" si="18"/>
        <v>0</v>
      </c>
      <c r="S36" s="55">
        <f t="shared" si="18"/>
        <v>0</v>
      </c>
      <c r="T36" s="55">
        <f t="shared" si="18"/>
        <v>0</v>
      </c>
      <c r="U36" s="55">
        <f t="shared" si="18"/>
        <v>0</v>
      </c>
      <c r="V36" s="55">
        <f t="shared" si="18"/>
        <v>0</v>
      </c>
      <c r="W36" s="55">
        <f t="shared" si="18"/>
        <v>0</v>
      </c>
      <c r="X36" s="55">
        <f t="shared" si="18"/>
        <v>0</v>
      </c>
      <c r="Y36" s="55">
        <f t="shared" si="18"/>
        <v>0</v>
      </c>
      <c r="Z36" s="55">
        <f t="shared" si="18"/>
        <v>0</v>
      </c>
      <c r="AA36" s="55">
        <f t="shared" si="18"/>
        <v>0</v>
      </c>
      <c r="AB36" s="55">
        <f t="shared" si="18"/>
        <v>0</v>
      </c>
      <c r="AC36" s="55">
        <f t="shared" si="18"/>
        <v>-2.2737367544323206E-12</v>
      </c>
      <c r="AD36" s="55">
        <f t="shared" si="18"/>
        <v>0</v>
      </c>
      <c r="AE36" s="55">
        <f t="shared" si="18"/>
        <v>0</v>
      </c>
      <c r="AF36" s="55">
        <f t="shared" si="18"/>
        <v>0</v>
      </c>
      <c r="AG36" s="55">
        <f t="shared" si="18"/>
        <v>0</v>
      </c>
      <c r="AH36" s="55">
        <f t="shared" si="18"/>
        <v>0</v>
      </c>
      <c r="AI36" s="62">
        <v>1</v>
      </c>
      <c r="AJ36" s="62">
        <f t="shared" si="17"/>
        <v>2</v>
      </c>
      <c r="AK36" s="62">
        <f t="shared" si="17"/>
        <v>3</v>
      </c>
      <c r="AL36" s="62">
        <f t="shared" si="17"/>
        <v>4</v>
      </c>
      <c r="AM36" s="62">
        <f t="shared" si="17"/>
        <v>5</v>
      </c>
      <c r="AN36" s="62">
        <f>AM36+1</f>
        <v>6</v>
      </c>
      <c r="AO36" s="62">
        <f>AN36+1</f>
        <v>7</v>
      </c>
    </row>
    <row r="37" spans="1:46">
      <c r="A37" s="52" t="s">
        <v>61</v>
      </c>
      <c r="B37" s="63">
        <f>B35-B36</f>
        <v>0</v>
      </c>
      <c r="C37" s="54"/>
      <c r="Q37" s="57"/>
      <c r="AI37" s="57">
        <f>P34</f>
        <v>284.63714210526268</v>
      </c>
      <c r="AJ37" s="57">
        <f t="shared" ref="AJ37:AO37" si="19">AC34</f>
        <v>751.26315789473506</v>
      </c>
      <c r="AK37" s="57">
        <f t="shared" si="19"/>
        <v>1798.5382105263163</v>
      </c>
      <c r="AL37" s="57">
        <f t="shared" si="19"/>
        <v>2845.8132631578937</v>
      </c>
      <c r="AM37" s="57">
        <f t="shared" si="19"/>
        <v>3893.0883157894732</v>
      </c>
      <c r="AN37" s="57">
        <f t="shared" si="19"/>
        <v>5577.8206105263134</v>
      </c>
      <c r="AO37" s="57">
        <f t="shared" si="19"/>
        <v>5889.0131999999976</v>
      </c>
    </row>
    <row r="38" spans="1:46">
      <c r="A38" s="52" t="s">
        <v>62</v>
      </c>
      <c r="B38" s="54"/>
      <c r="C38" s="54"/>
      <c r="AI38" s="57">
        <f>AI37+P32+P31+P15</f>
        <v>1937.1770999999997</v>
      </c>
      <c r="AJ38" s="57">
        <f t="shared" ref="AJ38:AO38" si="20">AJ37+AC32+AC31+AC15</f>
        <v>3409.4303999999984</v>
      </c>
      <c r="AK38" s="57">
        <f t="shared" si="20"/>
        <v>4235.9580000000014</v>
      </c>
      <c r="AL38" s="57">
        <f>AL37+AE32+AE31+AE15</f>
        <v>5062.4856</v>
      </c>
      <c r="AM38" s="57">
        <f t="shared" si="20"/>
        <v>5889.0132000000003</v>
      </c>
      <c r="AN38" s="57">
        <f t="shared" si="20"/>
        <v>5889.0131999999985</v>
      </c>
      <c r="AO38" s="57">
        <f t="shared" si="20"/>
        <v>5889.0131999999985</v>
      </c>
    </row>
    <row r="39" spans="1:46">
      <c r="A39" s="52" t="s">
        <v>63</v>
      </c>
      <c r="B39" s="54"/>
      <c r="C39" s="54"/>
      <c r="V39" s="57"/>
      <c r="AI39" s="57">
        <f>P27</f>
        <v>10656</v>
      </c>
      <c r="AJ39" s="57">
        <f>AC27</f>
        <v>0</v>
      </c>
      <c r="AK39" s="57"/>
      <c r="AL39" s="57"/>
      <c r="AM39" s="57"/>
      <c r="AN39" s="57"/>
      <c r="AO39" s="57"/>
    </row>
    <row r="40" spans="1:46">
      <c r="A40" s="64" t="s">
        <v>64</v>
      </c>
      <c r="B40" s="54"/>
      <c r="C40" s="54"/>
      <c r="AI40" s="65">
        <f t="shared" ref="AI40:AO40" si="21">AI38-AI39</f>
        <v>-8718.822900000001</v>
      </c>
      <c r="AJ40" s="65">
        <f t="shared" si="21"/>
        <v>3409.4303999999984</v>
      </c>
      <c r="AK40" s="65">
        <f t="shared" si="21"/>
        <v>4235.9580000000014</v>
      </c>
      <c r="AL40" s="65">
        <f t="shared" si="21"/>
        <v>5062.4856</v>
      </c>
      <c r="AM40" s="65">
        <f t="shared" si="21"/>
        <v>5889.0132000000003</v>
      </c>
      <c r="AN40" s="65">
        <f t="shared" si="21"/>
        <v>5889.0131999999985</v>
      </c>
      <c r="AO40" s="65">
        <f t="shared" si="21"/>
        <v>5889.0131999999985</v>
      </c>
    </row>
    <row r="41" spans="1:46">
      <c r="A41" s="66" t="s">
        <v>65</v>
      </c>
      <c r="B41" s="54"/>
      <c r="C41" s="54"/>
      <c r="AI41" s="67">
        <f>AI40/(1+Исх!$C$7)^'1-Ф3'!AI36</f>
        <v>-7694.5274110420796</v>
      </c>
      <c r="AJ41" s="67">
        <f>AJ40/(1+Исх!$C$7)^'1-Ф3'!AJ36</f>
        <v>2655.400416519089</v>
      </c>
      <c r="AK41" s="67">
        <f>AK40/(1+Исх!$C$7)^'1-Ф3'!AK36</f>
        <v>2911.5478379585393</v>
      </c>
      <c r="AL41" s="67">
        <f>AL40/(1+Исх!$C$7)^'1-Ф3'!AL36</f>
        <v>3070.8611532784553</v>
      </c>
      <c r="AM41" s="67">
        <f>AM40/(1+Исх!$C$7)^'1-Ф3'!AM36</f>
        <v>3152.5573976584915</v>
      </c>
      <c r="AN41" s="67">
        <f>AN40/(1+Исх!$C$7)^'1-Ф3'!AN36</f>
        <v>2782.1919987807919</v>
      </c>
      <c r="AO41" s="67">
        <f>AO40/(1+Исх!$C$7)^'1-Ф3'!AO36</f>
        <v>2455.337474213492</v>
      </c>
    </row>
    <row r="42" spans="1:46">
      <c r="A42" s="64" t="s">
        <v>66</v>
      </c>
      <c r="B42" s="54"/>
      <c r="C42" s="54"/>
      <c r="AI42" s="65">
        <f>AI40</f>
        <v>-8718.822900000001</v>
      </c>
      <c r="AJ42" s="65">
        <f t="shared" ref="AJ42:AM43" si="22">AI42+AJ40</f>
        <v>-5309.3925000000027</v>
      </c>
      <c r="AK42" s="65">
        <f t="shared" si="22"/>
        <v>-1073.4345000000012</v>
      </c>
      <c r="AL42" s="65">
        <f t="shared" si="22"/>
        <v>3989.0510999999988</v>
      </c>
      <c r="AM42" s="65">
        <f t="shared" si="22"/>
        <v>9878.0642999999982</v>
      </c>
      <c r="AN42" s="65">
        <f>AM42+AN40</f>
        <v>15767.077499999996</v>
      </c>
      <c r="AO42" s="65">
        <f>AN42+AO40</f>
        <v>21656.090699999993</v>
      </c>
    </row>
    <row r="43" spans="1:46">
      <c r="A43" s="66" t="s">
        <v>67</v>
      </c>
      <c r="B43" s="54"/>
      <c r="C43" s="54"/>
      <c r="AI43" s="67">
        <f>AI41</f>
        <v>-7694.5274110420796</v>
      </c>
      <c r="AJ43" s="67">
        <f t="shared" si="22"/>
        <v>-5039.1269945229906</v>
      </c>
      <c r="AK43" s="67">
        <f t="shared" si="22"/>
        <v>-2127.5791565644513</v>
      </c>
      <c r="AL43" s="67">
        <f t="shared" si="22"/>
        <v>943.28199671400398</v>
      </c>
      <c r="AM43" s="67">
        <f t="shared" si="22"/>
        <v>4095.8393943724955</v>
      </c>
      <c r="AN43" s="67">
        <f>AM43+AN41</f>
        <v>6878.0313931532874</v>
      </c>
      <c r="AO43" s="67">
        <f>AN43+AO41</f>
        <v>9333.3688673667784</v>
      </c>
    </row>
    <row r="44" spans="1:46">
      <c r="A44" s="52" t="s">
        <v>68</v>
      </c>
      <c r="B44" s="54"/>
      <c r="C44" s="54"/>
      <c r="AI44" s="57">
        <f>NPV(Исх!$C$7,'1-Ф3'!$AI38:AI38)</f>
        <v>1709.5957180175089</v>
      </c>
      <c r="AJ44" s="57">
        <f>NPV(Исх!$C$7,'1-Ф3'!$AI38:AJ38)</f>
        <v>4364.9961345365982</v>
      </c>
      <c r="AK44" s="57">
        <f>NPV(Исх!$C$7,'1-Ф3'!$AI38:AK38)</f>
        <v>7276.5439724951375</v>
      </c>
      <c r="AL44" s="57">
        <f>NPV(Исх!$C$7,'1-Ф3'!$AI38:AL38)</f>
        <v>10347.405125773594</v>
      </c>
      <c r="AM44" s="57">
        <f>NPV(Исх!$C$7,'1-Ф3'!$AI38:AM38)</f>
        <v>13499.962523432085</v>
      </c>
      <c r="AN44" s="57">
        <f>NPV(Исх!$C$7,'1-Ф3'!$AI38:AN38)</f>
        <v>16282.154522212877</v>
      </c>
      <c r="AO44" s="57">
        <f>NPV(Исх!$C$7,'1-Ф3'!$AI38:AO38)</f>
        <v>18737.491996426368</v>
      </c>
    </row>
    <row r="45" spans="1:46">
      <c r="A45" s="52" t="s">
        <v>69</v>
      </c>
      <c r="B45" s="54"/>
      <c r="C45" s="54"/>
      <c r="AI45" s="57">
        <f>NPV(Исх!$C$7,'1-Ф3'!$AI39:AI39)</f>
        <v>9404.1231290595879</v>
      </c>
      <c r="AJ45" s="57">
        <f>NPV(Исх!$C$7,'1-Ф3'!$AI39:AJ39)</f>
        <v>9404.1231290595879</v>
      </c>
      <c r="AK45" s="57">
        <f>NPV(Исх!$C$7,'1-Ф3'!$AI39:AK39)</f>
        <v>9404.1231290595879</v>
      </c>
      <c r="AL45" s="57">
        <f>NPV(Исх!$C$7,'1-Ф3'!$AI39:AL39)</f>
        <v>9404.1231290595879</v>
      </c>
      <c r="AM45" s="57">
        <f>NPV(Исх!$C$7,'1-Ф3'!$AI39:AM39)</f>
        <v>9404.1231290595879</v>
      </c>
      <c r="AN45" s="57">
        <f>NPV(Исх!$C$7,'1-Ф3'!$AI39:AN39)</f>
        <v>9404.1231290595879</v>
      </c>
      <c r="AO45" s="57">
        <f>NPV(Исх!$C$7,'1-Ф3'!$AI39:AO39)</f>
        <v>9404.1231290595879</v>
      </c>
    </row>
    <row r="46" spans="1:46">
      <c r="A46" s="52" t="s">
        <v>70</v>
      </c>
      <c r="B46" s="54"/>
      <c r="C46" s="54"/>
      <c r="AI46" s="57">
        <f t="shared" ref="AI46:AO46" si="23">AI44-AI45</f>
        <v>-7694.5274110420787</v>
      </c>
      <c r="AJ46" s="57">
        <f t="shared" si="23"/>
        <v>-5039.1269945229897</v>
      </c>
      <c r="AK46" s="57">
        <f t="shared" si="23"/>
        <v>-2127.5791565644504</v>
      </c>
      <c r="AL46" s="57">
        <f t="shared" si="23"/>
        <v>943.2819967140058</v>
      </c>
      <c r="AM46" s="57">
        <f t="shared" si="23"/>
        <v>4095.8393943724968</v>
      </c>
      <c r="AN46" s="57">
        <f t="shared" si="23"/>
        <v>6878.0313931532892</v>
      </c>
      <c r="AO46" s="57">
        <f t="shared" si="23"/>
        <v>9333.3688673667803</v>
      </c>
    </row>
    <row r="47" spans="1:46">
      <c r="A47" s="52" t="s">
        <v>71</v>
      </c>
      <c r="B47" s="54"/>
      <c r="C47" s="54"/>
      <c r="AI47" s="68">
        <f t="shared" ref="AI47:AO47" si="24">AI44/AI45</f>
        <v>0.18179214527027024</v>
      </c>
      <c r="AJ47" s="68">
        <f t="shared" si="24"/>
        <v>0.46415769706889171</v>
      </c>
      <c r="AK47" s="68">
        <f t="shared" si="24"/>
        <v>0.77376102722538387</v>
      </c>
      <c r="AL47" s="68">
        <f t="shared" si="24"/>
        <v>1.1003051516625915</v>
      </c>
      <c r="AM47" s="68">
        <f t="shared" si="24"/>
        <v>1.43553655541961</v>
      </c>
      <c r="AN47" s="68">
        <f t="shared" si="24"/>
        <v>1.7313846595542282</v>
      </c>
      <c r="AO47" s="68">
        <f t="shared" si="24"/>
        <v>1.9924762510314045</v>
      </c>
    </row>
    <row r="48" spans="1:46">
      <c r="A48" s="52" t="s">
        <v>72</v>
      </c>
      <c r="B48" s="54"/>
      <c r="C48" s="54"/>
      <c r="AG48" s="69" t="str">
        <f>IF(ISERROR(IRR($AI40:AI$40))," ",IF(IRR($AI40:AI$40)&lt;0," ",IRR($AI40:AI$40)))</f>
        <v xml:space="preserve"> </v>
      </c>
      <c r="AH48" s="69" t="str">
        <f>IF(ISERROR(IRR($AI40:AJ$40))," ",IF(IRR($AI40:AJ$40)&lt;0," ",IRR($AI40:AJ$40)))</f>
        <v xml:space="preserve"> </v>
      </c>
      <c r="AI48" s="69" t="str">
        <f>IF(ISERROR(IRR($AI40:AI$40))," ",IF(IRR($AI40:AI$40)&lt;0," ",IRR($AI40:AI$40)))</f>
        <v xml:space="preserve"> </v>
      </c>
      <c r="AJ48" s="69" t="str">
        <f>IF(ISERROR(IRR($AI40:AJ$40))," ",IF(IRR($AI40:AJ$40)&lt;0," ",IRR($AI40:AJ$40)))</f>
        <v xml:space="preserve"> </v>
      </c>
      <c r="AK48" s="69" t="str">
        <f>IF(ISERROR(IRR($AI40:AK$40))," ",IF(IRR($AI40:AK$40)&lt;0," ",IRR($AI40:AK$40)))</f>
        <v xml:space="preserve"> </v>
      </c>
      <c r="AL48" s="69">
        <f>IF(ISERROR(IRR($AI40:AL$40))," ",IF(IRR($AI40:AL$40)&lt;0," ",IRR($AI40:AL$40)))</f>
        <v>0.19956761814849816</v>
      </c>
      <c r="AM48" s="69">
        <f>IF(ISERROR(IRR($AI40:AM$40))," ",IF(IRR($AI40:AM$40)&lt;0," ",IRR($AI40:AM$40)))</f>
        <v>0.34746890301423111</v>
      </c>
      <c r="AN48" s="69">
        <f>IF(ISERROR(IRR($AI40:AN$40))," ",IF(IRR($AI40:AN$40)&lt;0," ",IRR($AI40:AN$40)))</f>
        <v>0.42121094987410707</v>
      </c>
      <c r="AO48" s="69">
        <f>IF(ISERROR(IRR($AI40:AO$40))," ",IF(IRR($AI40:AO$40)&lt;0," ",IRR($AI40:AO$40)))</f>
        <v>0.46132475222671815</v>
      </c>
    </row>
    <row r="49" spans="1:3">
      <c r="A49" s="70" t="s">
        <v>35</v>
      </c>
      <c r="B49" s="58">
        <f>AK36-AK42/AL40-3/12</f>
        <v>2.9620370475720468</v>
      </c>
      <c r="C49" s="54"/>
    </row>
    <row r="50" spans="1:3">
      <c r="A50" s="70" t="s">
        <v>29</v>
      </c>
      <c r="B50" s="58">
        <f>AK36-AK43/AL41-3/12</f>
        <v>3.4428281841375488</v>
      </c>
      <c r="C50" s="54"/>
    </row>
    <row r="51" spans="1:3">
      <c r="A51" s="52"/>
      <c r="B51" s="54"/>
      <c r="C51" s="54"/>
    </row>
    <row r="52" spans="1:3">
      <c r="A52" s="52"/>
      <c r="B52" s="54"/>
      <c r="C52" s="54"/>
    </row>
    <row r="53" spans="1:3">
      <c r="A53" s="52"/>
      <c r="B53" s="54"/>
      <c r="C53" s="54"/>
    </row>
    <row r="54" spans="1:3">
      <c r="A54" s="52"/>
      <c r="B54" s="54"/>
      <c r="C54" s="54"/>
    </row>
    <row r="55" spans="1:3">
      <c r="A55" s="52"/>
      <c r="B55" s="54"/>
      <c r="C55" s="54"/>
    </row>
    <row r="56" spans="1:3">
      <c r="A56" s="52"/>
      <c r="B56" s="54"/>
      <c r="C56" s="54"/>
    </row>
    <row r="57" spans="1:3">
      <c r="A57" s="52"/>
      <c r="B57" s="54"/>
      <c r="C57" s="54"/>
    </row>
    <row r="58" spans="1:3">
      <c r="A58" s="52"/>
      <c r="B58" s="54"/>
      <c r="C58" s="54"/>
    </row>
    <row r="59" spans="1:3">
      <c r="A59" s="52"/>
      <c r="B59" s="54"/>
      <c r="C59" s="54"/>
    </row>
    <row r="60" spans="1:3">
      <c r="A60" s="52"/>
      <c r="B60" s="54"/>
      <c r="C60" s="54"/>
    </row>
    <row r="61" spans="1:3">
      <c r="A61" s="52"/>
      <c r="B61" s="54"/>
      <c r="C61" s="54"/>
    </row>
    <row r="62" spans="1:3">
      <c r="A62" s="52"/>
      <c r="B62" s="54"/>
      <c r="C62" s="54"/>
    </row>
    <row r="63" spans="1:3">
      <c r="A63" s="52"/>
      <c r="B63" s="54"/>
      <c r="C63" s="54"/>
    </row>
    <row r="64" spans="1:3">
      <c r="A64" s="52"/>
      <c r="B64" s="54"/>
      <c r="C64" s="54"/>
    </row>
    <row r="65" spans="1:3">
      <c r="A65" s="52"/>
      <c r="B65" s="54"/>
      <c r="C65" s="54"/>
    </row>
    <row r="66" spans="1:3">
      <c r="A66" s="52"/>
      <c r="B66" s="54"/>
      <c r="C66" s="54"/>
    </row>
    <row r="67" spans="1:3">
      <c r="A67" s="52"/>
      <c r="B67" s="54"/>
      <c r="C67" s="54"/>
    </row>
    <row r="68" spans="1:3">
      <c r="A68" s="52"/>
      <c r="B68" s="54"/>
      <c r="C68" s="54"/>
    </row>
    <row r="69" spans="1:3">
      <c r="A69" s="52"/>
      <c r="B69" s="54"/>
      <c r="C69" s="54"/>
    </row>
    <row r="70" spans="1:3">
      <c r="A70" s="52"/>
      <c r="B70" s="54"/>
      <c r="C70" s="54"/>
    </row>
    <row r="71" spans="1:3">
      <c r="A71" s="52"/>
      <c r="B71" s="54"/>
      <c r="C71" s="54"/>
    </row>
    <row r="72" spans="1:3">
      <c r="A72" s="52"/>
      <c r="B72" s="54"/>
      <c r="C72" s="54"/>
    </row>
    <row r="73" spans="1:3">
      <c r="A73" s="52"/>
      <c r="B73" s="54"/>
      <c r="C73" s="54"/>
    </row>
    <row r="74" spans="1:3">
      <c r="A74" s="52"/>
      <c r="B74" s="54"/>
      <c r="C74" s="54"/>
    </row>
    <row r="75" spans="1:3">
      <c r="A75" s="52"/>
      <c r="B75" s="54"/>
      <c r="C75" s="54"/>
    </row>
    <row r="76" spans="1:3">
      <c r="A76" s="52"/>
      <c r="B76" s="54"/>
      <c r="C76" s="54"/>
    </row>
    <row r="77" spans="1:3">
      <c r="A77" s="52"/>
      <c r="B77" s="54"/>
      <c r="C77" s="54"/>
    </row>
    <row r="78" spans="1:3">
      <c r="A78" s="52"/>
      <c r="B78" s="54"/>
      <c r="C78" s="54"/>
    </row>
    <row r="79" spans="1:3">
      <c r="A79" s="52"/>
      <c r="B79" s="54"/>
      <c r="C79" s="54"/>
    </row>
    <row r="80" spans="1:3">
      <c r="A80" s="52"/>
      <c r="B80" s="54"/>
      <c r="C80" s="54"/>
    </row>
    <row r="81" spans="1:3">
      <c r="A81" s="52"/>
      <c r="B81" s="54"/>
      <c r="C81" s="54"/>
    </row>
    <row r="82" spans="1:3">
      <c r="A82" s="52"/>
      <c r="B82" s="54"/>
      <c r="C82" s="54"/>
    </row>
    <row r="83" spans="1:3">
      <c r="A83" s="52"/>
      <c r="B83" s="54"/>
      <c r="C83" s="54"/>
    </row>
    <row r="84" spans="1:3">
      <c r="A84" s="52"/>
      <c r="B84" s="54"/>
      <c r="C84" s="54"/>
    </row>
    <row r="85" spans="1:3">
      <c r="A85" s="52"/>
      <c r="B85" s="54"/>
      <c r="C85" s="54"/>
    </row>
    <row r="86" spans="1:3">
      <c r="A86" s="52"/>
      <c r="B86" s="54"/>
      <c r="C86" s="54"/>
    </row>
    <row r="87" spans="1:3">
      <c r="A87" s="52"/>
      <c r="B87" s="54"/>
      <c r="C87" s="54"/>
    </row>
    <row r="88" spans="1:3">
      <c r="A88" s="52"/>
      <c r="B88" s="54"/>
      <c r="C88" s="54"/>
    </row>
    <row r="89" spans="1:3">
      <c r="A89" s="52"/>
      <c r="B89" s="54"/>
      <c r="C89" s="54"/>
    </row>
    <row r="90" spans="1:3">
      <c r="A90" s="52"/>
      <c r="B90" s="54"/>
      <c r="C90" s="54"/>
    </row>
    <row r="91" spans="1:3">
      <c r="A91" s="52"/>
      <c r="B91" s="54"/>
      <c r="C91" s="54"/>
    </row>
    <row r="92" spans="1:3">
      <c r="A92" s="52"/>
      <c r="B92" s="54"/>
      <c r="C92" s="54"/>
    </row>
    <row r="93" spans="1:3">
      <c r="A93" s="52"/>
      <c r="B93" s="54"/>
      <c r="C93" s="54"/>
    </row>
    <row r="94" spans="1:3">
      <c r="A94" s="52"/>
      <c r="B94" s="54"/>
      <c r="C94" s="54"/>
    </row>
    <row r="95" spans="1:3">
      <c r="A95" s="52"/>
      <c r="B95" s="54"/>
      <c r="C95" s="54"/>
    </row>
    <row r="96" spans="1:3">
      <c r="A96" s="52"/>
      <c r="B96" s="54"/>
      <c r="C96" s="54"/>
    </row>
    <row r="97" spans="1:3">
      <c r="A97" s="52"/>
      <c r="B97" s="54"/>
      <c r="C97" s="54"/>
    </row>
    <row r="98" spans="1:3">
      <c r="A98" s="52"/>
      <c r="B98" s="54"/>
      <c r="C98" s="54"/>
    </row>
    <row r="99" spans="1:3">
      <c r="A99" s="52"/>
      <c r="B99" s="54"/>
      <c r="C99" s="54"/>
    </row>
    <row r="100" spans="1:3">
      <c r="A100" s="52"/>
      <c r="B100" s="54"/>
      <c r="C100" s="54"/>
    </row>
    <row r="101" spans="1:3">
      <c r="A101" s="52"/>
      <c r="B101" s="54"/>
      <c r="C101" s="54"/>
    </row>
    <row r="102" spans="1:3">
      <c r="A102" s="52"/>
      <c r="B102" s="54"/>
      <c r="C102" s="54"/>
    </row>
    <row r="103" spans="1:3">
      <c r="A103" s="52"/>
      <c r="B103" s="54"/>
      <c r="C103" s="54"/>
    </row>
    <row r="104" spans="1:3">
      <c r="A104" s="52"/>
      <c r="B104" s="54"/>
      <c r="C104" s="54"/>
    </row>
    <row r="105" spans="1:3">
      <c r="A105" s="52"/>
      <c r="B105" s="54"/>
      <c r="C105" s="54"/>
    </row>
    <row r="106" spans="1:3">
      <c r="A106" s="52"/>
      <c r="B106" s="54"/>
      <c r="C106" s="54"/>
    </row>
    <row r="107" spans="1:3">
      <c r="A107" s="52"/>
      <c r="B107" s="54"/>
      <c r="C107" s="54"/>
    </row>
    <row r="108" spans="1:3">
      <c r="A108" s="52"/>
      <c r="B108" s="54"/>
      <c r="C108" s="54"/>
    </row>
    <row r="109" spans="1:3">
      <c r="A109" s="52"/>
      <c r="B109" s="54"/>
      <c r="C109" s="54"/>
    </row>
    <row r="110" spans="1:3">
      <c r="A110" s="52"/>
      <c r="B110" s="54"/>
      <c r="C110" s="54"/>
    </row>
    <row r="111" spans="1:3">
      <c r="A111" s="52"/>
      <c r="B111" s="54"/>
      <c r="C111" s="54"/>
    </row>
    <row r="112" spans="1:3">
      <c r="A112" s="52"/>
      <c r="B112" s="54"/>
      <c r="C112" s="54"/>
    </row>
    <row r="113" spans="1:3">
      <c r="A113" s="52"/>
      <c r="B113" s="54"/>
      <c r="C113" s="54"/>
    </row>
    <row r="114" spans="1:3">
      <c r="A114" s="52"/>
      <c r="B114" s="54"/>
      <c r="C114" s="54"/>
    </row>
    <row r="115" spans="1:3">
      <c r="A115" s="52"/>
      <c r="B115" s="54"/>
      <c r="C115" s="54"/>
    </row>
    <row r="116" spans="1:3">
      <c r="A116" s="52"/>
      <c r="B116" s="54"/>
      <c r="C116" s="54"/>
    </row>
    <row r="117" spans="1:3">
      <c r="A117" s="52"/>
      <c r="B117" s="54"/>
      <c r="C117" s="54"/>
    </row>
    <row r="118" spans="1:3">
      <c r="A118" s="52"/>
      <c r="B118" s="54"/>
      <c r="C118" s="54"/>
    </row>
    <row r="119" spans="1:3">
      <c r="A119" s="52"/>
      <c r="B119" s="54"/>
      <c r="C119" s="54"/>
    </row>
    <row r="120" spans="1:3">
      <c r="A120" s="52"/>
      <c r="B120" s="54"/>
      <c r="C120" s="54"/>
    </row>
    <row r="121" spans="1:3">
      <c r="A121" s="52"/>
      <c r="B121" s="54"/>
      <c r="C121" s="54"/>
    </row>
    <row r="122" spans="1:3">
      <c r="A122" s="52"/>
      <c r="B122" s="54"/>
      <c r="C122" s="54"/>
    </row>
    <row r="123" spans="1:3">
      <c r="A123" s="52"/>
      <c r="B123" s="54"/>
      <c r="C123" s="54"/>
    </row>
    <row r="124" spans="1:3">
      <c r="A124" s="52"/>
      <c r="B124" s="54"/>
      <c r="C124" s="54"/>
    </row>
    <row r="125" spans="1:3">
      <c r="A125" s="52"/>
      <c r="B125" s="54"/>
      <c r="C125" s="54"/>
    </row>
    <row r="126" spans="1:3">
      <c r="A126" s="52"/>
      <c r="B126" s="54"/>
      <c r="C126" s="54"/>
    </row>
    <row r="127" spans="1:3">
      <c r="A127" s="52"/>
      <c r="B127" s="54"/>
      <c r="C127" s="54"/>
    </row>
    <row r="128" spans="1:3">
      <c r="A128" s="52"/>
      <c r="B128" s="54"/>
      <c r="C128" s="54"/>
    </row>
    <row r="129" spans="1:3">
      <c r="A129" s="52"/>
      <c r="B129" s="54"/>
      <c r="C129" s="54"/>
    </row>
    <row r="130" spans="1:3">
      <c r="A130" s="52"/>
      <c r="B130" s="54"/>
      <c r="C130" s="54"/>
    </row>
    <row r="131" spans="1:3">
      <c r="A131" s="52"/>
      <c r="B131" s="54"/>
      <c r="C131" s="54"/>
    </row>
    <row r="132" spans="1:3">
      <c r="A132" s="52"/>
      <c r="B132" s="54"/>
      <c r="C132" s="54"/>
    </row>
    <row r="133" spans="1:3">
      <c r="A133" s="52"/>
      <c r="B133" s="54"/>
      <c r="C133" s="54"/>
    </row>
    <row r="134" spans="1:3">
      <c r="A134" s="52"/>
      <c r="B134" s="54"/>
      <c r="C134" s="54"/>
    </row>
    <row r="135" spans="1:3">
      <c r="A135" s="52"/>
      <c r="B135" s="54"/>
      <c r="C135" s="54"/>
    </row>
    <row r="136" spans="1:3">
      <c r="A136" s="52"/>
      <c r="B136" s="54"/>
      <c r="C136" s="54"/>
    </row>
    <row r="137" spans="1:3">
      <c r="A137" s="52"/>
      <c r="B137" s="54"/>
      <c r="C137" s="54"/>
    </row>
    <row r="138" spans="1:3">
      <c r="A138" s="52"/>
      <c r="B138" s="54"/>
      <c r="C138" s="54"/>
    </row>
    <row r="139" spans="1:3">
      <c r="A139" s="52"/>
      <c r="B139" s="54"/>
      <c r="C139" s="54"/>
    </row>
    <row r="140" spans="1:3">
      <c r="A140" s="52"/>
      <c r="B140" s="54"/>
      <c r="C140" s="54"/>
    </row>
    <row r="141" spans="1:3">
      <c r="A141" s="52"/>
      <c r="B141" s="54"/>
      <c r="C141" s="54"/>
    </row>
    <row r="142" spans="1:3">
      <c r="A142" s="52"/>
      <c r="B142" s="54"/>
      <c r="C142" s="54"/>
    </row>
  </sheetData>
  <mergeCells count="4">
    <mergeCell ref="A5:A6"/>
    <mergeCell ref="B5:B6"/>
    <mergeCell ref="D5:P5"/>
    <mergeCell ref="Q5:AC5"/>
  </mergeCells>
  <phoneticPr fontId="3" type="noConversion"/>
  <pageMargins left="0.43307086614173229" right="0.27559055118110237" top="0.71" bottom="0.35433070866141736" header="0.44" footer="0.23622047244094491"/>
  <pageSetup paperSize="9" orientation="landscape" r:id="rId1"/>
  <headerFooter alignWithMargins="0">
    <oddHeader>&amp;RПриложение 1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S20"/>
  <sheetViews>
    <sheetView showGridLines="0" zoomScaleNormal="100" workbookViewId="0">
      <pane xSplit="2" ySplit="4" topLeftCell="C5" activePane="bottomRight" state="frozen"/>
      <selection activeCell="A34" sqref="A34"/>
      <selection pane="topRight" activeCell="A34" sqref="A34"/>
      <selection pane="bottomLeft" activeCell="A34" sqref="A34"/>
      <selection pane="bottomRight" activeCell="D22" sqref="D22"/>
    </sheetView>
  </sheetViews>
  <sheetFormatPr defaultColWidth="8.85546875" defaultRowHeight="12.75" outlineLevelRow="1" outlineLevelCol="1"/>
  <cols>
    <col min="1" max="1" width="35" style="77" customWidth="1"/>
    <col min="2" max="2" width="10" style="77" customWidth="1"/>
    <col min="3" max="3" width="9" style="77" customWidth="1"/>
    <col min="4" max="4" width="10" style="77" customWidth="1"/>
    <col min="5" max="5" width="6.5703125" style="77" customWidth="1" outlineLevel="1"/>
    <col min="6" max="6" width="6.7109375" style="77" customWidth="1" outlineLevel="1"/>
    <col min="7" max="7" width="6.42578125" style="77" bestFit="1" customWidth="1" outlineLevel="1"/>
    <col min="8" max="16" width="5.42578125" style="77" customWidth="1" outlineLevel="1"/>
    <col min="17" max="17" width="10.140625" style="77" customWidth="1"/>
    <col min="18" max="18" width="8.85546875" style="77"/>
    <col min="19" max="19" width="16" style="77" customWidth="1"/>
    <col min="20" max="20" width="12.85546875" style="77" bestFit="1" customWidth="1"/>
    <col min="21" max="16384" width="8.85546875" style="77"/>
  </cols>
  <sheetData>
    <row r="1" spans="1:19" ht="8.25" customHeight="1"/>
    <row r="2" spans="1:19">
      <c r="A2" s="61" t="s">
        <v>258</v>
      </c>
      <c r="B2" s="176"/>
      <c r="Q2" s="149" t="s">
        <v>59</v>
      </c>
      <c r="R2" s="207"/>
      <c r="S2" s="174"/>
    </row>
    <row r="3" spans="1:19" ht="17.25" customHeight="1">
      <c r="B3" s="207"/>
      <c r="C3" s="207"/>
      <c r="E3" s="287">
        <v>2012</v>
      </c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9"/>
      <c r="Q3" s="92" t="s">
        <v>0</v>
      </c>
      <c r="R3" s="207"/>
      <c r="S3" s="208"/>
    </row>
    <row r="4" spans="1:19" ht="27" customHeight="1">
      <c r="A4" s="253" t="s">
        <v>209</v>
      </c>
      <c r="B4" s="209" t="s">
        <v>168</v>
      </c>
      <c r="C4" s="209" t="s">
        <v>169</v>
      </c>
      <c r="D4" s="234" t="s">
        <v>167</v>
      </c>
      <c r="E4" s="210">
        <v>1</v>
      </c>
      <c r="F4" s="210">
        <v>2</v>
      </c>
      <c r="G4" s="210">
        <v>3</v>
      </c>
      <c r="H4" s="210">
        <v>4</v>
      </c>
      <c r="I4" s="210">
        <v>5</v>
      </c>
      <c r="J4" s="210">
        <v>6</v>
      </c>
      <c r="K4" s="210">
        <v>7</v>
      </c>
      <c r="L4" s="210">
        <v>8</v>
      </c>
      <c r="M4" s="210">
        <v>9</v>
      </c>
      <c r="N4" s="210">
        <v>10</v>
      </c>
      <c r="O4" s="210">
        <v>11</v>
      </c>
      <c r="P4" s="210">
        <v>12</v>
      </c>
      <c r="Q4" s="94">
        <v>2012</v>
      </c>
    </row>
    <row r="5" spans="1:19" s="61" customFormat="1" hidden="1">
      <c r="A5" s="211"/>
      <c r="B5" s="212"/>
      <c r="C5" s="212"/>
      <c r="D5" s="146">
        <f>SUM(D6)</f>
        <v>0</v>
      </c>
      <c r="E5" s="146">
        <f>SUM(E6)</f>
        <v>0</v>
      </c>
      <c r="F5" s="146">
        <f t="shared" ref="F5:Q5" si="0">SUM(F6)</f>
        <v>0</v>
      </c>
      <c r="G5" s="146">
        <f t="shared" si="0"/>
        <v>0</v>
      </c>
      <c r="H5" s="146">
        <f t="shared" si="0"/>
        <v>0</v>
      </c>
      <c r="I5" s="146">
        <f t="shared" si="0"/>
        <v>0</v>
      </c>
      <c r="J5" s="146">
        <f t="shared" si="0"/>
        <v>0</v>
      </c>
      <c r="K5" s="146">
        <f t="shared" si="0"/>
        <v>0</v>
      </c>
      <c r="L5" s="146">
        <f t="shared" si="0"/>
        <v>0</v>
      </c>
      <c r="M5" s="146">
        <f t="shared" si="0"/>
        <v>0</v>
      </c>
      <c r="N5" s="146">
        <f t="shared" si="0"/>
        <v>0</v>
      </c>
      <c r="O5" s="146">
        <f t="shared" si="0"/>
        <v>0</v>
      </c>
      <c r="P5" s="146">
        <f t="shared" si="0"/>
        <v>0</v>
      </c>
      <c r="Q5" s="146">
        <f t="shared" si="0"/>
        <v>0</v>
      </c>
    </row>
    <row r="6" spans="1:19" hidden="1" outlineLevel="1">
      <c r="A6" s="213"/>
      <c r="B6" s="235"/>
      <c r="C6" s="235"/>
      <c r="D6" s="156">
        <f>B6*C6</f>
        <v>0</v>
      </c>
      <c r="E6" s="156"/>
      <c r="F6" s="156"/>
      <c r="G6" s="156"/>
      <c r="H6" s="156"/>
      <c r="I6" s="156">
        <f>D6</f>
        <v>0</v>
      </c>
      <c r="J6" s="156"/>
      <c r="K6" s="156"/>
      <c r="L6" s="156"/>
      <c r="M6" s="156"/>
      <c r="N6" s="156"/>
      <c r="O6" s="156"/>
      <c r="P6" s="156"/>
      <c r="Q6" s="157">
        <f>SUM(E6:P6)</f>
        <v>0</v>
      </c>
    </row>
    <row r="7" spans="1:19" s="61" customFormat="1" hidden="1" collapsed="1">
      <c r="A7" s="211" t="s">
        <v>206</v>
      </c>
      <c r="B7" s="212"/>
      <c r="C7" s="212"/>
      <c r="D7" s="146">
        <f>SUM(D8:D10)</f>
        <v>0</v>
      </c>
      <c r="E7" s="146">
        <f t="shared" ref="E7:Q7" si="1">SUM(E8:E10)</f>
        <v>0</v>
      </c>
      <c r="F7" s="146">
        <f t="shared" si="1"/>
        <v>0</v>
      </c>
      <c r="G7" s="146">
        <f t="shared" si="1"/>
        <v>0</v>
      </c>
      <c r="H7" s="146">
        <f t="shared" si="1"/>
        <v>0</v>
      </c>
      <c r="I7" s="146">
        <f t="shared" si="1"/>
        <v>0</v>
      </c>
      <c r="J7" s="146">
        <f t="shared" si="1"/>
        <v>0</v>
      </c>
      <c r="K7" s="146">
        <f t="shared" si="1"/>
        <v>0</v>
      </c>
      <c r="L7" s="146">
        <f t="shared" si="1"/>
        <v>0</v>
      </c>
      <c r="M7" s="146">
        <f t="shared" si="1"/>
        <v>0</v>
      </c>
      <c r="N7" s="146">
        <f t="shared" si="1"/>
        <v>0</v>
      </c>
      <c r="O7" s="146">
        <f t="shared" si="1"/>
        <v>0</v>
      </c>
      <c r="P7" s="146">
        <f t="shared" si="1"/>
        <v>0</v>
      </c>
      <c r="Q7" s="146">
        <f t="shared" si="1"/>
        <v>0</v>
      </c>
    </row>
    <row r="8" spans="1:19" hidden="1" outlineLevel="1">
      <c r="A8" s="213"/>
      <c r="B8" s="235"/>
      <c r="C8" s="235"/>
      <c r="D8" s="156">
        <f>B8*C8</f>
        <v>0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>
        <f>SUM(E8:P8)</f>
        <v>0</v>
      </c>
    </row>
    <row r="9" spans="1:19" hidden="1" outlineLevel="1">
      <c r="A9" s="213"/>
      <c r="B9" s="44"/>
      <c r="C9" s="235"/>
      <c r="D9" s="156">
        <f>B9*C9</f>
        <v>0</v>
      </c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>
        <f>SUM(E9:P9)</f>
        <v>0</v>
      </c>
    </row>
    <row r="10" spans="1:19" hidden="1" outlineLevel="1">
      <c r="A10" s="213"/>
      <c r="B10" s="147"/>
      <c r="C10" s="147"/>
      <c r="D10" s="156">
        <f>B10*C10</f>
        <v>0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9" collapsed="1">
      <c r="A11" s="211" t="s">
        <v>238</v>
      </c>
      <c r="B11" s="212"/>
      <c r="C11" s="212"/>
      <c r="D11" s="146">
        <f t="shared" ref="D11:Q11" si="2">SUM(D12:D13)</f>
        <v>10656</v>
      </c>
      <c r="E11" s="146">
        <f t="shared" si="2"/>
        <v>0</v>
      </c>
      <c r="F11" s="146">
        <f t="shared" si="2"/>
        <v>5328</v>
      </c>
      <c r="G11" s="146">
        <f t="shared" si="2"/>
        <v>5328</v>
      </c>
      <c r="H11" s="146">
        <f t="shared" si="2"/>
        <v>0</v>
      </c>
      <c r="I11" s="146">
        <f t="shared" si="2"/>
        <v>0</v>
      </c>
      <c r="J11" s="146">
        <f t="shared" si="2"/>
        <v>0</v>
      </c>
      <c r="K11" s="146">
        <f t="shared" si="2"/>
        <v>0</v>
      </c>
      <c r="L11" s="146">
        <f t="shared" si="2"/>
        <v>0</v>
      </c>
      <c r="M11" s="146">
        <f t="shared" si="2"/>
        <v>0</v>
      </c>
      <c r="N11" s="146">
        <f t="shared" si="2"/>
        <v>0</v>
      </c>
      <c r="O11" s="146">
        <f t="shared" si="2"/>
        <v>0</v>
      </c>
      <c r="P11" s="146">
        <f t="shared" si="2"/>
        <v>0</v>
      </c>
      <c r="Q11" s="146">
        <f t="shared" si="2"/>
        <v>10656</v>
      </c>
    </row>
    <row r="12" spans="1:19" outlineLevel="1">
      <c r="A12" s="214" t="s">
        <v>257</v>
      </c>
      <c r="B12" s="44">
        <f>Исх!C24</f>
        <v>4</v>
      </c>
      <c r="C12" s="235">
        <f>18*Исх!$C$5</f>
        <v>2664</v>
      </c>
      <c r="D12" s="156">
        <f>B12*C12</f>
        <v>10656</v>
      </c>
      <c r="E12" s="156"/>
      <c r="F12" s="156">
        <f>$D$12/2</f>
        <v>5328</v>
      </c>
      <c r="G12" s="156">
        <f>$D$12/2</f>
        <v>5328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7">
        <f>SUM(E12:P12)</f>
        <v>10656</v>
      </c>
      <c r="R12" s="150" t="s">
        <v>251</v>
      </c>
    </row>
    <row r="13" spans="1:19" hidden="1" outlineLevel="1">
      <c r="A13" s="214"/>
      <c r="B13" s="235"/>
      <c r="C13" s="235"/>
      <c r="D13" s="156">
        <f>B13*C13</f>
        <v>0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>
        <f>SUM(E13:P13)</f>
        <v>0</v>
      </c>
    </row>
    <row r="14" spans="1:19" collapsed="1">
      <c r="A14" s="143" t="s">
        <v>0</v>
      </c>
      <c r="B14" s="170"/>
      <c r="C14" s="170"/>
      <c r="D14" s="170">
        <f>D5+D7+D11</f>
        <v>10656</v>
      </c>
      <c r="E14" s="170">
        <f t="shared" ref="E14:Q14" si="3">E5+E7+E11</f>
        <v>0</v>
      </c>
      <c r="F14" s="170">
        <f t="shared" si="3"/>
        <v>5328</v>
      </c>
      <c r="G14" s="170">
        <f t="shared" si="3"/>
        <v>5328</v>
      </c>
      <c r="H14" s="170">
        <f t="shared" si="3"/>
        <v>0</v>
      </c>
      <c r="I14" s="170">
        <f>I5+I7+I11</f>
        <v>0</v>
      </c>
      <c r="J14" s="170">
        <f t="shared" si="3"/>
        <v>0</v>
      </c>
      <c r="K14" s="170">
        <f t="shared" si="3"/>
        <v>0</v>
      </c>
      <c r="L14" s="170">
        <f t="shared" si="3"/>
        <v>0</v>
      </c>
      <c r="M14" s="170">
        <f t="shared" si="3"/>
        <v>0</v>
      </c>
      <c r="N14" s="170">
        <f t="shared" si="3"/>
        <v>0</v>
      </c>
      <c r="O14" s="170">
        <f t="shared" si="3"/>
        <v>0</v>
      </c>
      <c r="P14" s="170">
        <f t="shared" si="3"/>
        <v>0</v>
      </c>
      <c r="Q14" s="170">
        <f t="shared" si="3"/>
        <v>10656</v>
      </c>
    </row>
    <row r="15" spans="1:19">
      <c r="D15" s="207">
        <f>D14-Q14</f>
        <v>0</v>
      </c>
    </row>
    <row r="16" spans="1:19">
      <c r="B16" s="149" t="s">
        <v>59</v>
      </c>
      <c r="C16" s="215" t="s">
        <v>99</v>
      </c>
    </row>
    <row r="17" spans="1:12">
      <c r="A17" s="77" t="s">
        <v>213</v>
      </c>
      <c r="B17" s="207">
        <f>Q5</f>
        <v>0</v>
      </c>
      <c r="C17" s="171">
        <f>B17/Исх!$C$5</f>
        <v>0</v>
      </c>
    </row>
    <row r="18" spans="1:12">
      <c r="A18" s="77" t="s">
        <v>116</v>
      </c>
      <c r="B18" s="207">
        <f>Q7</f>
        <v>0</v>
      </c>
      <c r="C18" s="171">
        <f>B18/Исх!$C$5</f>
        <v>0</v>
      </c>
      <c r="L18" s="176"/>
    </row>
    <row r="19" spans="1:12">
      <c r="A19" s="77" t="s">
        <v>238</v>
      </c>
      <c r="B19" s="207">
        <f>Q11</f>
        <v>10656</v>
      </c>
      <c r="C19" s="171">
        <f>B19/Исх!$C$5</f>
        <v>72</v>
      </c>
      <c r="L19" s="176"/>
    </row>
    <row r="20" spans="1:12">
      <c r="A20" s="61" t="s">
        <v>88</v>
      </c>
      <c r="B20" s="216">
        <f>SUM(B17:B19)</f>
        <v>10656</v>
      </c>
      <c r="C20" s="216">
        <f>SUM(C17:C19)</f>
        <v>72</v>
      </c>
    </row>
  </sheetData>
  <mergeCells count="1">
    <mergeCell ref="E3:P3"/>
  </mergeCells>
  <phoneticPr fontId="3" type="noConversion"/>
  <pageMargins left="0.48" right="0.23622047244094491" top="0.69" bottom="0.27559055118110237" header="0.52" footer="0.19685039370078741"/>
  <pageSetup paperSize="9" scale="96" orientation="landscape" r:id="rId1"/>
  <headerFooter alignWithMargins="0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showGridLines="0" workbookViewId="0">
      <pane ySplit="3" topLeftCell="A4" activePane="bottomLeft" state="frozen"/>
      <selection activeCell="A34" sqref="A34"/>
      <selection pane="bottomLeft" activeCell="E19" sqref="E19"/>
    </sheetView>
  </sheetViews>
  <sheetFormatPr defaultRowHeight="12.75"/>
  <cols>
    <col min="1" max="1" width="38.5703125" style="77" customWidth="1"/>
    <col min="2" max="2" width="10" style="77" customWidth="1"/>
    <col min="3" max="16384" width="9.140625" style="77"/>
  </cols>
  <sheetData>
    <row r="1" spans="1:8">
      <c r="A1" s="61" t="s">
        <v>74</v>
      </c>
      <c r="B1" s="61"/>
      <c r="C1" s="61"/>
      <c r="D1" s="61"/>
      <c r="E1" s="61"/>
      <c r="F1" s="61"/>
    </row>
    <row r="2" spans="1:8">
      <c r="A2" s="217"/>
      <c r="B2" s="217"/>
      <c r="C2" s="217"/>
      <c r="D2" s="217"/>
      <c r="E2" s="217"/>
      <c r="F2" s="217"/>
      <c r="H2" s="149" t="s">
        <v>59</v>
      </c>
    </row>
    <row r="3" spans="1:8">
      <c r="A3" s="228" t="s">
        <v>9</v>
      </c>
      <c r="B3" s="254">
        <v>2012</v>
      </c>
      <c r="C3" s="254">
        <f t="shared" ref="C3:H3" si="0">B3+1</f>
        <v>2013</v>
      </c>
      <c r="D3" s="254">
        <f t="shared" si="0"/>
        <v>2014</v>
      </c>
      <c r="E3" s="254">
        <f t="shared" si="0"/>
        <v>2015</v>
      </c>
      <c r="F3" s="254">
        <f t="shared" si="0"/>
        <v>2016</v>
      </c>
      <c r="G3" s="254">
        <f t="shared" si="0"/>
        <v>2017</v>
      </c>
      <c r="H3" s="254">
        <f t="shared" si="0"/>
        <v>2018</v>
      </c>
    </row>
    <row r="4" spans="1:8">
      <c r="A4" s="218" t="s">
        <v>119</v>
      </c>
      <c r="B4" s="219">
        <f>'2-ф2'!P5</f>
        <v>9828</v>
      </c>
      <c r="C4" s="219">
        <f>'2-ф2'!AC5</f>
        <v>14112</v>
      </c>
      <c r="D4" s="219">
        <f>'2-ф2'!AD5</f>
        <v>15120</v>
      </c>
      <c r="E4" s="219">
        <f>'2-ф2'!AE5</f>
        <v>16128</v>
      </c>
      <c r="F4" s="219">
        <f>'2-ф2'!AF5</f>
        <v>17136</v>
      </c>
      <c r="G4" s="219">
        <f>'2-ф2'!AG5</f>
        <v>17136</v>
      </c>
      <c r="H4" s="219">
        <f>'2-ф2'!AH5</f>
        <v>17136</v>
      </c>
    </row>
    <row r="5" spans="1:8">
      <c r="A5" s="218" t="s">
        <v>89</v>
      </c>
      <c r="B5" s="220">
        <f t="shared" ref="B5:H5" si="1">B4-B6</f>
        <v>640.23503684210482</v>
      </c>
      <c r="C5" s="220">
        <f t="shared" si="1"/>
        <v>1948.5852631578928</v>
      </c>
      <c r="D5" s="220">
        <f t="shared" si="1"/>
        <v>3026.1003157894738</v>
      </c>
      <c r="E5" s="220">
        <f t="shared" si="1"/>
        <v>4103.6153684210512</v>
      </c>
      <c r="F5" s="220">
        <f t="shared" si="1"/>
        <v>5181.1304210526323</v>
      </c>
      <c r="G5" s="220">
        <f t="shared" si="1"/>
        <v>5332.8942947368414</v>
      </c>
      <c r="H5" s="220">
        <f t="shared" si="1"/>
        <v>5337.4932000000008</v>
      </c>
    </row>
    <row r="6" spans="1:8">
      <c r="A6" s="218" t="s">
        <v>122</v>
      </c>
      <c r="B6" s="221">
        <f t="shared" ref="B6:H6" si="2">SUM(B7:B8)</f>
        <v>9187.7649631578952</v>
      </c>
      <c r="C6" s="221">
        <f t="shared" si="2"/>
        <v>12163.414736842107</v>
      </c>
      <c r="D6" s="221">
        <f t="shared" si="2"/>
        <v>12093.899684210526</v>
      </c>
      <c r="E6" s="221">
        <f t="shared" si="2"/>
        <v>12024.384631578949</v>
      </c>
      <c r="F6" s="221">
        <f t="shared" si="2"/>
        <v>11954.869578947368</v>
      </c>
      <c r="G6" s="221">
        <f t="shared" si="2"/>
        <v>11803.105705263159</v>
      </c>
      <c r="H6" s="221">
        <f t="shared" si="2"/>
        <v>11798.506799999999</v>
      </c>
    </row>
    <row r="7" spans="1:8">
      <c r="A7" s="218" t="s">
        <v>90</v>
      </c>
      <c r="B7" s="219">
        <f>'2-ф2'!P14+'2-ф2'!P13+'2-ф2'!P12</f>
        <v>7713.2490631578949</v>
      </c>
      <c r="C7" s="219">
        <f>'2-ф2'!AC14+'2-ф2'!AC13+'2-ф2'!AC12</f>
        <v>10046.161136842107</v>
      </c>
      <c r="D7" s="219">
        <f>'2-ф2'!AD14+'2-ф2'!AD13+'2-ф2'!AD12</f>
        <v>9825.4136842105272</v>
      </c>
      <c r="E7" s="219">
        <f>'2-ф2'!AE14+'2-ф2'!AE13+'2-ф2'!AE12</f>
        <v>9604.666231578949</v>
      </c>
      <c r="F7" s="219">
        <f>'2-ф2'!AF14+'2-ф2'!AF13+'2-ф2'!AF12</f>
        <v>9383.918778947369</v>
      </c>
      <c r="G7" s="219">
        <f>'2-ф2'!AG14+'2-ф2'!AG13+'2-ф2'!AG12</f>
        <v>9232.1549052631599</v>
      </c>
      <c r="H7" s="219">
        <f>'2-ф2'!AH14+'2-ф2'!AH13+'2-ф2'!AH12</f>
        <v>9227.5560000000005</v>
      </c>
    </row>
    <row r="8" spans="1:8">
      <c r="A8" s="218" t="s">
        <v>91</v>
      </c>
      <c r="B8" s="219">
        <f>'2-ф2'!P8</f>
        <v>1474.5158999999999</v>
      </c>
      <c r="C8" s="219">
        <f>'2-ф2'!AC8</f>
        <v>2117.2535999999996</v>
      </c>
      <c r="D8" s="219">
        <f>'2-ф2'!AD8</f>
        <v>2268.4859999999999</v>
      </c>
      <c r="E8" s="219">
        <f>'2-ф2'!AE8</f>
        <v>2419.7183999999997</v>
      </c>
      <c r="F8" s="219">
        <f>'2-ф2'!AF8</f>
        <v>2570.9507999999996</v>
      </c>
      <c r="G8" s="219">
        <f>'2-ф2'!AG8</f>
        <v>2570.9507999999996</v>
      </c>
      <c r="H8" s="219">
        <f>'2-ф2'!AH8</f>
        <v>2570.9507999999996</v>
      </c>
    </row>
    <row r="9" spans="1:8">
      <c r="A9" s="218" t="s">
        <v>92</v>
      </c>
      <c r="B9" s="221">
        <f t="shared" ref="B9:H9" si="3">B4-B8</f>
        <v>8353.4840999999997</v>
      </c>
      <c r="C9" s="221">
        <f t="shared" si="3"/>
        <v>11994.7464</v>
      </c>
      <c r="D9" s="221">
        <f t="shared" si="3"/>
        <v>12851.513999999999</v>
      </c>
      <c r="E9" s="221">
        <f t="shared" si="3"/>
        <v>13708.2816</v>
      </c>
      <c r="F9" s="221">
        <f t="shared" si="3"/>
        <v>14565.049200000001</v>
      </c>
      <c r="G9" s="221">
        <f t="shared" si="3"/>
        <v>14565.049200000001</v>
      </c>
      <c r="H9" s="221">
        <f t="shared" si="3"/>
        <v>14565.049200000001</v>
      </c>
    </row>
    <row r="10" spans="1:8">
      <c r="A10" s="218" t="s">
        <v>75</v>
      </c>
      <c r="B10" s="222">
        <f t="shared" ref="B10:H10" si="4">B9/B4</f>
        <v>0.84996785714285716</v>
      </c>
      <c r="C10" s="222">
        <f t="shared" si="4"/>
        <v>0.84996785714285716</v>
      </c>
      <c r="D10" s="222">
        <f t="shared" si="4"/>
        <v>0.84996785714285705</v>
      </c>
      <c r="E10" s="222">
        <f t="shared" si="4"/>
        <v>0.84996785714285716</v>
      </c>
      <c r="F10" s="222">
        <f t="shared" si="4"/>
        <v>0.84996785714285716</v>
      </c>
      <c r="G10" s="222">
        <f t="shared" si="4"/>
        <v>0.84996785714285716</v>
      </c>
      <c r="H10" s="222">
        <f t="shared" si="4"/>
        <v>0.84996785714285716</v>
      </c>
    </row>
    <row r="11" spans="1:8">
      <c r="A11" s="218" t="s">
        <v>93</v>
      </c>
      <c r="B11" s="221">
        <f t="shared" ref="B11:H11" si="5">B7/B10</f>
        <v>9074.7538254984865</v>
      </c>
      <c r="C11" s="221">
        <f t="shared" si="5"/>
        <v>11819.46005653907</v>
      </c>
      <c r="D11" s="221">
        <f t="shared" si="5"/>
        <v>11559.74735002142</v>
      </c>
      <c r="E11" s="221">
        <f t="shared" si="5"/>
        <v>11300.03464350377</v>
      </c>
      <c r="F11" s="221">
        <f t="shared" si="5"/>
        <v>11040.321936986118</v>
      </c>
      <c r="G11" s="221">
        <f t="shared" si="5"/>
        <v>10861.769451255235</v>
      </c>
      <c r="H11" s="221">
        <f t="shared" si="5"/>
        <v>10856.35876986945</v>
      </c>
    </row>
    <row r="12" spans="1:8" ht="25.5">
      <c r="A12" s="223" t="s">
        <v>76</v>
      </c>
      <c r="B12" s="224">
        <f t="shared" ref="B12:H12" si="6">(B4-B11)/B4</f>
        <v>7.6642874898403893E-2</v>
      </c>
      <c r="C12" s="224">
        <f t="shared" si="6"/>
        <v>0.16245322728606362</v>
      </c>
      <c r="D12" s="224">
        <f t="shared" si="6"/>
        <v>0.23546644510440343</v>
      </c>
      <c r="E12" s="224">
        <f t="shared" si="6"/>
        <v>0.29935301069545078</v>
      </c>
      <c r="F12" s="224">
        <f t="shared" si="6"/>
        <v>0.35572350974637501</v>
      </c>
      <c r="G12" s="224">
        <f t="shared" si="6"/>
        <v>0.36614323930583359</v>
      </c>
      <c r="H12" s="224">
        <f t="shared" si="6"/>
        <v>0.36645898868642329</v>
      </c>
    </row>
    <row r="13" spans="1:8">
      <c r="A13" s="218" t="s">
        <v>109</v>
      </c>
      <c r="B13" s="225">
        <f t="shared" ref="B13:H13" si="7">100%-B12</f>
        <v>0.92335712510159607</v>
      </c>
      <c r="C13" s="225">
        <f t="shared" si="7"/>
        <v>0.8375467727139364</v>
      </c>
      <c r="D13" s="225">
        <f t="shared" si="7"/>
        <v>0.7645335548955966</v>
      </c>
      <c r="E13" s="225">
        <f t="shared" si="7"/>
        <v>0.70064698930454927</v>
      </c>
      <c r="F13" s="225">
        <f t="shared" si="7"/>
        <v>0.64427649025362499</v>
      </c>
      <c r="G13" s="225">
        <f t="shared" si="7"/>
        <v>0.63385676069416641</v>
      </c>
      <c r="H13" s="225">
        <f t="shared" si="7"/>
        <v>0.63354101131357665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picture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G59"/>
  <sheetViews>
    <sheetView showGridLines="0" tabSelected="1" zoomScaleNormal="100" workbookViewId="0">
      <pane ySplit="2" topLeftCell="A3" activePane="bottomLeft" state="frozen"/>
      <selection activeCell="A34" sqref="A34"/>
      <selection pane="bottomLeft" activeCell="E53" sqref="E53"/>
    </sheetView>
  </sheetViews>
  <sheetFormatPr defaultRowHeight="12.75"/>
  <cols>
    <col min="1" max="1" width="53.7109375" style="71" customWidth="1"/>
    <col min="2" max="2" width="16.85546875" style="72" customWidth="1"/>
    <col min="3" max="3" width="12.7109375" style="70" customWidth="1"/>
    <col min="4" max="4" width="11" style="70" customWidth="1"/>
    <col min="5" max="16384" width="9.140625" style="70"/>
  </cols>
  <sheetData>
    <row r="1" spans="1:6" ht="13.9" customHeight="1"/>
    <row r="2" spans="1:6" ht="14.1" customHeight="1">
      <c r="A2" s="240" t="s">
        <v>252</v>
      </c>
      <c r="B2" s="241">
        <v>2012</v>
      </c>
    </row>
    <row r="3" spans="1:6" ht="14.1" customHeight="1">
      <c r="A3" s="236" t="s">
        <v>182</v>
      </c>
      <c r="B3" s="237">
        <f>'1-Ф3'!B21</f>
        <v>10656</v>
      </c>
    </row>
    <row r="4" spans="1:6" ht="14.1" customHeight="1">
      <c r="A4" s="236" t="s">
        <v>181</v>
      </c>
      <c r="B4" s="237">
        <f>'1-Ф3'!B27-'1-Ф3'!B21</f>
        <v>0</v>
      </c>
    </row>
    <row r="5" spans="1:6" ht="14.1" customHeight="1">
      <c r="A5" s="238" t="s">
        <v>88</v>
      </c>
      <c r="B5" s="239">
        <f>SUM(B3:B4)</f>
        <v>10656</v>
      </c>
    </row>
    <row r="6" spans="1:6" ht="13.5" customHeight="1">
      <c r="A6" s="73"/>
      <c r="B6" s="74"/>
    </row>
    <row r="7" spans="1:6" ht="13.5" customHeight="1">
      <c r="A7" s="240" t="s">
        <v>253</v>
      </c>
      <c r="B7" s="241" t="s">
        <v>167</v>
      </c>
      <c r="C7" s="241" t="s">
        <v>9</v>
      </c>
      <c r="D7" s="241" t="s">
        <v>184</v>
      </c>
    </row>
    <row r="8" spans="1:6" ht="13.5" customHeight="1">
      <c r="A8" s="236" t="s">
        <v>183</v>
      </c>
      <c r="B8" s="237">
        <f>'1-Ф3'!B28</f>
        <v>2131.2000000000003</v>
      </c>
      <c r="C8" s="244" t="s">
        <v>254</v>
      </c>
      <c r="D8" s="242">
        <f>B8/$B$10</f>
        <v>0.20000000000000004</v>
      </c>
      <c r="F8" s="245" t="s">
        <v>193</v>
      </c>
    </row>
    <row r="9" spans="1:6" ht="13.5" customHeight="1">
      <c r="A9" s="236" t="s">
        <v>110</v>
      </c>
      <c r="B9" s="237">
        <f>'1-Ф3'!B29</f>
        <v>8524.7999999999993</v>
      </c>
      <c r="C9" s="244" t="s">
        <v>254</v>
      </c>
      <c r="D9" s="242">
        <f>B9/$B$10</f>
        <v>0.79999999999999993</v>
      </c>
      <c r="F9" s="245" t="s">
        <v>193</v>
      </c>
    </row>
    <row r="10" spans="1:6">
      <c r="A10" s="238" t="s">
        <v>88</v>
      </c>
      <c r="B10" s="239">
        <f>SUM(B8:B9)</f>
        <v>10656</v>
      </c>
      <c r="C10" s="239"/>
      <c r="D10" s="243">
        <f>SUM(D8:D9)</f>
        <v>1</v>
      </c>
    </row>
    <row r="11" spans="1:6">
      <c r="A11" s="76"/>
      <c r="B11" s="75"/>
    </row>
    <row r="12" spans="1:6">
      <c r="A12" s="236" t="s">
        <v>185</v>
      </c>
      <c r="B12" s="237" t="s">
        <v>186</v>
      </c>
      <c r="F12" s="245"/>
    </row>
    <row r="13" spans="1:6">
      <c r="A13" s="236" t="s">
        <v>187</v>
      </c>
      <c r="B13" s="242">
        <f>Исх!C27</f>
        <v>0.12</v>
      </c>
    </row>
    <row r="14" spans="1:6">
      <c r="A14" s="236" t="s">
        <v>188</v>
      </c>
      <c r="B14" s="237" t="s">
        <v>189</v>
      </c>
      <c r="F14" s="245"/>
    </row>
    <row r="15" spans="1:6">
      <c r="A15" s="236" t="s">
        <v>191</v>
      </c>
      <c r="B15" s="237">
        <f>Исх!C29</f>
        <v>3</v>
      </c>
    </row>
    <row r="16" spans="1:6">
      <c r="A16" s="236" t="s">
        <v>192</v>
      </c>
      <c r="B16" s="237">
        <f>Исх!C30</f>
        <v>3</v>
      </c>
    </row>
    <row r="17" spans="1:7">
      <c r="A17" s="236" t="s">
        <v>255</v>
      </c>
      <c r="B17" s="237" t="s">
        <v>190</v>
      </c>
      <c r="F17" s="245"/>
    </row>
    <row r="19" spans="1:7">
      <c r="A19" s="236" t="s">
        <v>210</v>
      </c>
      <c r="B19" s="237">
        <f>'2-ф2'!AF17</f>
        <v>4667.0504210526315</v>
      </c>
      <c r="F19" s="70" t="s">
        <v>207</v>
      </c>
    </row>
    <row r="20" spans="1:7">
      <c r="A20" s="236" t="s">
        <v>194</v>
      </c>
      <c r="B20" s="242">
        <f>('3-Баланс'!AF26-'3-Баланс'!AE26)/'3-Баланс'!AF16</f>
        <v>0.30769583296667469</v>
      </c>
    </row>
    <row r="21" spans="1:7">
      <c r="A21" s="70"/>
      <c r="B21" s="70"/>
    </row>
    <row r="22" spans="1:7">
      <c r="A22" s="236" t="s">
        <v>273</v>
      </c>
      <c r="B22" s="252">
        <f>'3-Баланс'!AF11/'3-Баланс'!AF5</f>
        <v>0.36883543408569397</v>
      </c>
      <c r="F22" s="70" t="s">
        <v>207</v>
      </c>
    </row>
    <row r="23" spans="1:7">
      <c r="A23" s="236" t="s">
        <v>208</v>
      </c>
      <c r="B23" s="252">
        <f>'3-Баланс'!AF24/'3-Баланс'!AF21</f>
        <v>48.471795639006586</v>
      </c>
      <c r="F23" s="70" t="s">
        <v>242</v>
      </c>
    </row>
    <row r="25" spans="1:7">
      <c r="A25" s="236" t="s">
        <v>195</v>
      </c>
      <c r="B25" s="242">
        <f>'1-Ф3'!AO48</f>
        <v>0.46132475222671815</v>
      </c>
    </row>
    <row r="26" spans="1:7">
      <c r="A26" s="236" t="s">
        <v>196</v>
      </c>
      <c r="B26" s="237">
        <f>'1-Ф3'!AO46</f>
        <v>9333.3688673667803</v>
      </c>
    </row>
    <row r="27" spans="1:7">
      <c r="A27" s="236" t="s">
        <v>197</v>
      </c>
      <c r="B27" s="246">
        <f>'1-Ф3'!B49</f>
        <v>2.9620370475720468</v>
      </c>
    </row>
    <row r="28" spans="1:7">
      <c r="A28" s="236" t="s">
        <v>198</v>
      </c>
      <c r="B28" s="246">
        <f>'1-Ф3'!B50</f>
        <v>3.4428281841375488</v>
      </c>
    </row>
    <row r="30" spans="1:7">
      <c r="A30" s="247" t="s">
        <v>199</v>
      </c>
    </row>
    <row r="31" spans="1:7">
      <c r="A31" s="240" t="s">
        <v>28</v>
      </c>
      <c r="B31" s="241">
        <v>2013</v>
      </c>
      <c r="C31" s="241">
        <v>2014</v>
      </c>
      <c r="D31" s="257">
        <v>2015</v>
      </c>
      <c r="E31" s="257">
        <v>2016</v>
      </c>
      <c r="F31" s="257">
        <v>2017</v>
      </c>
      <c r="G31" s="257">
        <v>2018</v>
      </c>
    </row>
    <row r="32" spans="1:7">
      <c r="A32" s="236" t="s">
        <v>277</v>
      </c>
      <c r="B32" s="290">
        <f>Исх!C21</f>
        <v>25</v>
      </c>
      <c r="C32" s="291"/>
      <c r="D32" s="291"/>
      <c r="E32" s="291"/>
      <c r="F32" s="291"/>
      <c r="G32" s="292"/>
    </row>
    <row r="33" spans="1:7">
      <c r="A33" s="236" t="s">
        <v>278</v>
      </c>
      <c r="B33" s="290">
        <f>Исх!C23</f>
        <v>6</v>
      </c>
      <c r="C33" s="291"/>
      <c r="D33" s="291"/>
      <c r="E33" s="291"/>
      <c r="F33" s="291"/>
      <c r="G33" s="292"/>
    </row>
    <row r="34" spans="1:7">
      <c r="A34" s="236" t="s">
        <v>279</v>
      </c>
      <c r="B34" s="290">
        <f>Исх!C21</f>
        <v>25</v>
      </c>
      <c r="C34" s="291"/>
      <c r="D34" s="291"/>
      <c r="E34" s="291"/>
      <c r="F34" s="291"/>
      <c r="G34" s="292"/>
    </row>
    <row r="35" spans="1:7">
      <c r="A35" s="236" t="s">
        <v>245</v>
      </c>
      <c r="B35" s="290">
        <f>Исх!C25</f>
        <v>3000</v>
      </c>
      <c r="C35" s="291"/>
      <c r="D35" s="291"/>
      <c r="E35" s="291"/>
      <c r="F35" s="291"/>
      <c r="G35" s="292"/>
    </row>
    <row r="36" spans="1:7">
      <c r="A36" s="236" t="s">
        <v>244</v>
      </c>
      <c r="B36" s="242">
        <f>Дох!C5</f>
        <v>0.65</v>
      </c>
      <c r="C36" s="242">
        <f>Дох!D5</f>
        <v>0.7</v>
      </c>
      <c r="D36" s="242">
        <f>Дох!E5</f>
        <v>0.75</v>
      </c>
      <c r="E36" s="242">
        <f>Дох!F5</f>
        <v>0.8</v>
      </c>
      <c r="F36" s="242">
        <f>Дох!G5</f>
        <v>0.85</v>
      </c>
      <c r="G36" s="242">
        <f>Дох!H5</f>
        <v>0.85</v>
      </c>
    </row>
    <row r="37" spans="1:7">
      <c r="A37" s="236" t="s">
        <v>282</v>
      </c>
      <c r="B37" s="237">
        <f>Дох!C6*Дох!C8*9</f>
        <v>3510</v>
      </c>
      <c r="C37" s="237">
        <f>Дох!D6*Дох!D8*12</f>
        <v>5040</v>
      </c>
      <c r="D37" s="237">
        <f>Дох!E6*Дох!E8*12</f>
        <v>5400</v>
      </c>
      <c r="E37" s="237">
        <f>Дох!F6*Дох!F8*12</f>
        <v>5760</v>
      </c>
      <c r="F37" s="237">
        <f>Дох!G6*Дох!G8*12</f>
        <v>6120</v>
      </c>
      <c r="G37" s="237">
        <f>Дох!H6*Дох!H8*12</f>
        <v>6120</v>
      </c>
    </row>
    <row r="38" spans="1:7">
      <c r="A38" s="236" t="s">
        <v>280</v>
      </c>
      <c r="B38" s="237">
        <f>'1-Ф3'!AC9</f>
        <v>14112</v>
      </c>
      <c r="C38" s="237">
        <f>'1-Ф3'!AD9</f>
        <v>15120</v>
      </c>
      <c r="D38" s="237">
        <f>'1-Ф3'!AE9</f>
        <v>16128</v>
      </c>
      <c r="E38" s="237">
        <f>'1-Ф3'!AF9</f>
        <v>17136</v>
      </c>
      <c r="F38" s="237">
        <f>'1-Ф3'!AG9</f>
        <v>17136</v>
      </c>
      <c r="G38" s="237">
        <f>'1-Ф3'!AH9</f>
        <v>17136</v>
      </c>
    </row>
    <row r="40" spans="1:7">
      <c r="A40" s="247" t="s">
        <v>200</v>
      </c>
    </row>
    <row r="41" spans="1:7">
      <c r="A41" s="293" t="s">
        <v>201</v>
      </c>
      <c r="B41" s="295">
        <v>2012</v>
      </c>
      <c r="C41" s="295"/>
      <c r="D41" s="295"/>
      <c r="E41" s="295"/>
    </row>
    <row r="42" spans="1:7">
      <c r="A42" s="294"/>
      <c r="B42" s="241">
        <v>1</v>
      </c>
      <c r="C42" s="241">
        <v>2</v>
      </c>
      <c r="D42" s="257">
        <v>3</v>
      </c>
      <c r="E42" s="257">
        <v>4</v>
      </c>
    </row>
    <row r="43" spans="1:7" ht="25.5">
      <c r="A43" s="248" t="s">
        <v>202</v>
      </c>
      <c r="B43" s="249"/>
      <c r="C43" s="242"/>
      <c r="D43" s="242"/>
      <c r="E43" s="242"/>
    </row>
    <row r="44" spans="1:7">
      <c r="A44" s="236" t="s">
        <v>203</v>
      </c>
      <c r="B44" s="249"/>
      <c r="C44" s="249"/>
      <c r="D44" s="237"/>
      <c r="E44" s="242"/>
    </row>
    <row r="45" spans="1:7">
      <c r="A45" s="236" t="s">
        <v>204</v>
      </c>
      <c r="B45" s="237"/>
      <c r="C45" s="249"/>
      <c r="D45" s="237"/>
      <c r="E45" s="237"/>
    </row>
    <row r="46" spans="1:7">
      <c r="A46" s="236" t="s">
        <v>247</v>
      </c>
      <c r="B46" s="237"/>
      <c r="C46" s="249"/>
      <c r="D46" s="237"/>
      <c r="E46" s="237"/>
    </row>
    <row r="47" spans="1:7">
      <c r="A47" s="236" t="s">
        <v>248</v>
      </c>
      <c r="B47" s="237"/>
      <c r="C47" s="237"/>
      <c r="D47" s="249"/>
      <c r="E47" s="237"/>
    </row>
    <row r="48" spans="1:7">
      <c r="A48" s="236" t="s">
        <v>250</v>
      </c>
      <c r="B48" s="237"/>
      <c r="C48" s="237"/>
      <c r="D48" s="249"/>
      <c r="E48" s="237"/>
    </row>
    <row r="49" spans="1:5">
      <c r="A49" s="236" t="s">
        <v>249</v>
      </c>
      <c r="B49" s="237"/>
      <c r="C49" s="237"/>
      <c r="D49" s="249"/>
      <c r="E49" s="249"/>
    </row>
    <row r="50" spans="1:5">
      <c r="A50" s="236" t="s">
        <v>205</v>
      </c>
      <c r="B50" s="237"/>
      <c r="C50" s="237"/>
      <c r="D50" s="237"/>
      <c r="E50" s="249"/>
    </row>
    <row r="52" spans="1:5">
      <c r="A52" s="247" t="s">
        <v>243</v>
      </c>
    </row>
    <row r="54" spans="1:5">
      <c r="A54" s="256" t="s">
        <v>211</v>
      </c>
      <c r="B54" s="250" t="s">
        <v>212</v>
      </c>
    </row>
    <row r="55" spans="1:5" hidden="1">
      <c r="A55" s="236" t="s">
        <v>41</v>
      </c>
      <c r="B55" s="237">
        <f>'1-Ф3'!B17</f>
        <v>0</v>
      </c>
    </row>
    <row r="56" spans="1:5">
      <c r="A56" s="236" t="s">
        <v>274</v>
      </c>
      <c r="B56" s="237">
        <f>'1-Ф3'!B16</f>
        <v>3197.8799999999992</v>
      </c>
    </row>
    <row r="57" spans="1:5">
      <c r="A57" s="236" t="s">
        <v>215</v>
      </c>
      <c r="B57" s="237">
        <f>SUM(Пост!D20:I20)*12</f>
        <v>254.01599999999999</v>
      </c>
    </row>
    <row r="58" spans="1:5" hidden="1">
      <c r="A58" s="236"/>
      <c r="B58" s="237"/>
    </row>
    <row r="59" spans="1:5">
      <c r="A59" s="238" t="s">
        <v>0</v>
      </c>
      <c r="B59" s="239">
        <f>SUM(B55:B58)</f>
        <v>3451.8959999999993</v>
      </c>
    </row>
  </sheetData>
  <mergeCells count="6">
    <mergeCell ref="B34:G34"/>
    <mergeCell ref="B35:G35"/>
    <mergeCell ref="A41:A42"/>
    <mergeCell ref="B32:G32"/>
    <mergeCell ref="B33:G33"/>
    <mergeCell ref="B41:E41"/>
  </mergeCells>
  <phoneticPr fontId="14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&amp;RПриложение 1</oddHead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outlinePr summaryBelow="0"/>
  </sheetPr>
  <dimension ref="A1:FU33"/>
  <sheetViews>
    <sheetView showGridLines="0" showZeros="0" zoomScaleNormal="100" workbookViewId="0">
      <pane xSplit="3" ySplit="4" topLeftCell="D5" activePane="bottomRight" state="frozen"/>
      <selection activeCell="A34" sqref="A34"/>
      <selection pane="topRight" activeCell="A34" sqref="A34"/>
      <selection pane="bottomLeft" activeCell="A34" sqref="A34"/>
      <selection pane="bottomRight" activeCell="AD18" sqref="AD18"/>
    </sheetView>
  </sheetViews>
  <sheetFormatPr defaultColWidth="10.140625" defaultRowHeight="12.75" outlineLevelCol="1"/>
  <cols>
    <col min="1" max="1" width="38.140625" style="87" customWidth="1"/>
    <col min="2" max="2" width="11.42578125" style="87" customWidth="1"/>
    <col min="3" max="3" width="3.85546875" style="87" customWidth="1"/>
    <col min="4" max="4" width="7.140625" style="87" hidden="1" customWidth="1" outlineLevel="1"/>
    <col min="5" max="5" width="8.28515625" style="87" hidden="1" customWidth="1" outlineLevel="1"/>
    <col min="6" max="11" width="7" style="87" hidden="1" customWidth="1" outlineLevel="1"/>
    <col min="12" max="12" width="8.7109375" style="87" hidden="1" customWidth="1" outlineLevel="1"/>
    <col min="13" max="13" width="7.85546875" style="87" hidden="1" customWidth="1" outlineLevel="1"/>
    <col min="14" max="15" width="8.5703125" style="87" hidden="1" customWidth="1" outlineLevel="1"/>
    <col min="16" max="16" width="9.140625" style="87" customWidth="1" collapsed="1"/>
    <col min="17" max="28" width="8.42578125" style="87" hidden="1" customWidth="1" outlineLevel="1"/>
    <col min="29" max="29" width="9.140625" style="87" customWidth="1" collapsed="1"/>
    <col min="30" max="30" width="9.140625" style="87" customWidth="1"/>
    <col min="31" max="34" width="8.85546875" style="87" customWidth="1"/>
    <col min="35" max="16384" width="10.140625" style="87"/>
  </cols>
  <sheetData>
    <row r="1" spans="1:35" ht="21" customHeight="1">
      <c r="A1" s="61" t="s">
        <v>117</v>
      </c>
      <c r="B1" s="86"/>
      <c r="C1" s="86"/>
    </row>
    <row r="2" spans="1:35" ht="17.25" customHeight="1">
      <c r="A2" s="61"/>
      <c r="B2" s="12" t="str">
        <f>Исх!$C$9</f>
        <v>тыс.тг.</v>
      </c>
      <c r="C2" s="88"/>
    </row>
    <row r="3" spans="1:35" ht="12.75" customHeight="1">
      <c r="A3" s="271" t="s">
        <v>3</v>
      </c>
      <c r="B3" s="275" t="s">
        <v>1</v>
      </c>
      <c r="C3" s="92"/>
      <c r="D3" s="270">
        <v>2012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>
        <v>2013</v>
      </c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93">
        <v>2014</v>
      </c>
      <c r="AE3" s="93">
        <f>AD3+1</f>
        <v>2015</v>
      </c>
      <c r="AF3" s="93">
        <f>AE3+1</f>
        <v>2016</v>
      </c>
      <c r="AG3" s="93">
        <f>AF3+1</f>
        <v>2017</v>
      </c>
      <c r="AH3" s="93">
        <f>AG3+1</f>
        <v>2018</v>
      </c>
    </row>
    <row r="4" spans="1:35">
      <c r="A4" s="272"/>
      <c r="B4" s="275"/>
      <c r="C4" s="94"/>
      <c r="D4" s="95">
        <v>1</v>
      </c>
      <c r="E4" s="95">
        <f t="shared" ref="E4:O4" si="0">D4+1</f>
        <v>2</v>
      </c>
      <c r="F4" s="95">
        <f t="shared" si="0"/>
        <v>3</v>
      </c>
      <c r="G4" s="95">
        <f t="shared" si="0"/>
        <v>4</v>
      </c>
      <c r="H4" s="95">
        <f t="shared" si="0"/>
        <v>5</v>
      </c>
      <c r="I4" s="95">
        <f t="shared" si="0"/>
        <v>6</v>
      </c>
      <c r="J4" s="95">
        <f t="shared" si="0"/>
        <v>7</v>
      </c>
      <c r="K4" s="95">
        <f t="shared" si="0"/>
        <v>8</v>
      </c>
      <c r="L4" s="95">
        <f t="shared" si="0"/>
        <v>9</v>
      </c>
      <c r="M4" s="95">
        <f t="shared" si="0"/>
        <v>10</v>
      </c>
      <c r="N4" s="95">
        <f t="shared" si="0"/>
        <v>11</v>
      </c>
      <c r="O4" s="95">
        <f t="shared" si="0"/>
        <v>12</v>
      </c>
      <c r="P4" s="91" t="s">
        <v>0</v>
      </c>
      <c r="Q4" s="95">
        <v>1</v>
      </c>
      <c r="R4" s="95">
        <f t="shared" ref="R4:AB4" si="1">Q4+1</f>
        <v>2</v>
      </c>
      <c r="S4" s="95">
        <f t="shared" si="1"/>
        <v>3</v>
      </c>
      <c r="T4" s="95">
        <f t="shared" si="1"/>
        <v>4</v>
      </c>
      <c r="U4" s="95">
        <f t="shared" si="1"/>
        <v>5</v>
      </c>
      <c r="V4" s="95">
        <f t="shared" si="1"/>
        <v>6</v>
      </c>
      <c r="W4" s="95">
        <f t="shared" si="1"/>
        <v>7</v>
      </c>
      <c r="X4" s="95">
        <f t="shared" si="1"/>
        <v>8</v>
      </c>
      <c r="Y4" s="95">
        <f t="shared" si="1"/>
        <v>9</v>
      </c>
      <c r="Z4" s="95">
        <f t="shared" si="1"/>
        <v>10</v>
      </c>
      <c r="AA4" s="95">
        <f t="shared" si="1"/>
        <v>11</v>
      </c>
      <c r="AB4" s="95">
        <f t="shared" si="1"/>
        <v>12</v>
      </c>
      <c r="AC4" s="91" t="s">
        <v>0</v>
      </c>
      <c r="AD4" s="91" t="s">
        <v>118</v>
      </c>
      <c r="AE4" s="91" t="s">
        <v>118</v>
      </c>
      <c r="AF4" s="91" t="s">
        <v>118</v>
      </c>
      <c r="AG4" s="91" t="s">
        <v>118</v>
      </c>
      <c r="AH4" s="91" t="s">
        <v>118</v>
      </c>
    </row>
    <row r="5" spans="1:35" s="88" customFormat="1" ht="15" customHeight="1">
      <c r="A5" s="96" t="s">
        <v>100</v>
      </c>
      <c r="B5" s="97">
        <f>P5+AC5+AD5+AE5+AF5+AG5+AH5</f>
        <v>106596</v>
      </c>
      <c r="C5" s="98"/>
      <c r="D5" s="98">
        <f t="shared" ref="D5:AH5" si="2">SUM(D6:D7)</f>
        <v>0</v>
      </c>
      <c r="E5" s="98">
        <f t="shared" si="2"/>
        <v>0</v>
      </c>
      <c r="F5" s="98">
        <f t="shared" si="2"/>
        <v>0</v>
      </c>
      <c r="G5" s="98">
        <f t="shared" si="2"/>
        <v>1092</v>
      </c>
      <c r="H5" s="98">
        <f t="shared" si="2"/>
        <v>1092</v>
      </c>
      <c r="I5" s="98">
        <f t="shared" si="2"/>
        <v>1092</v>
      </c>
      <c r="J5" s="98">
        <f t="shared" si="2"/>
        <v>1092</v>
      </c>
      <c r="K5" s="98">
        <f t="shared" si="2"/>
        <v>1092</v>
      </c>
      <c r="L5" s="98">
        <f t="shared" si="2"/>
        <v>1092</v>
      </c>
      <c r="M5" s="98">
        <f t="shared" si="2"/>
        <v>1092</v>
      </c>
      <c r="N5" s="98">
        <f t="shared" si="2"/>
        <v>1092</v>
      </c>
      <c r="O5" s="98">
        <f t="shared" si="2"/>
        <v>1092</v>
      </c>
      <c r="P5" s="98">
        <f t="shared" si="2"/>
        <v>9828</v>
      </c>
      <c r="Q5" s="98">
        <f t="shared" si="2"/>
        <v>1176</v>
      </c>
      <c r="R5" s="98">
        <f t="shared" si="2"/>
        <v>1176</v>
      </c>
      <c r="S5" s="98">
        <f t="shared" si="2"/>
        <v>1176</v>
      </c>
      <c r="T5" s="98">
        <f t="shared" si="2"/>
        <v>1176</v>
      </c>
      <c r="U5" s="98">
        <f t="shared" si="2"/>
        <v>1176</v>
      </c>
      <c r="V5" s="98">
        <f t="shared" si="2"/>
        <v>1176</v>
      </c>
      <c r="W5" s="98">
        <f t="shared" si="2"/>
        <v>1176</v>
      </c>
      <c r="X5" s="98">
        <f t="shared" si="2"/>
        <v>1176</v>
      </c>
      <c r="Y5" s="98">
        <f t="shared" si="2"/>
        <v>1176</v>
      </c>
      <c r="Z5" s="98">
        <f t="shared" si="2"/>
        <v>1176</v>
      </c>
      <c r="AA5" s="98">
        <f t="shared" si="2"/>
        <v>1176</v>
      </c>
      <c r="AB5" s="98">
        <f t="shared" si="2"/>
        <v>1176</v>
      </c>
      <c r="AC5" s="98">
        <f t="shared" si="2"/>
        <v>14112</v>
      </c>
      <c r="AD5" s="98">
        <f t="shared" si="2"/>
        <v>15120</v>
      </c>
      <c r="AE5" s="98">
        <f t="shared" si="2"/>
        <v>16128</v>
      </c>
      <c r="AF5" s="98">
        <f t="shared" si="2"/>
        <v>17136</v>
      </c>
      <c r="AG5" s="98">
        <f t="shared" si="2"/>
        <v>17136</v>
      </c>
      <c r="AH5" s="98">
        <f t="shared" si="2"/>
        <v>17136</v>
      </c>
      <c r="AI5" s="99"/>
    </row>
    <row r="6" spans="1:35" s="88" customFormat="1">
      <c r="A6" s="100" t="s">
        <v>239</v>
      </c>
      <c r="B6" s="97">
        <f t="shared" ref="B6:B17" si="3">P6+AC6+AD6+AE6+AF6+AG6+AH6</f>
        <v>106596</v>
      </c>
      <c r="C6" s="98"/>
      <c r="D6" s="101"/>
      <c r="E6" s="101"/>
      <c r="F6" s="101"/>
      <c r="G6" s="101">
        <f>Дох!$C$9</f>
        <v>1092</v>
      </c>
      <c r="H6" s="101">
        <f>Дох!$C$9</f>
        <v>1092</v>
      </c>
      <c r="I6" s="101">
        <f>Дох!$C$9</f>
        <v>1092</v>
      </c>
      <c r="J6" s="101">
        <f>Дох!$C$9</f>
        <v>1092</v>
      </c>
      <c r="K6" s="101">
        <f>Дох!$C$9</f>
        <v>1092</v>
      </c>
      <c r="L6" s="101">
        <f>Дох!$C$9</f>
        <v>1092</v>
      </c>
      <c r="M6" s="101">
        <f>Дох!$C$9</f>
        <v>1092</v>
      </c>
      <c r="N6" s="101">
        <f>Дох!$C$9</f>
        <v>1092</v>
      </c>
      <c r="O6" s="101">
        <f>Дох!$C$9</f>
        <v>1092</v>
      </c>
      <c r="P6" s="98">
        <f>SUM(D6:O6)</f>
        <v>9828</v>
      </c>
      <c r="Q6" s="101">
        <f>Дох!$D$9</f>
        <v>1176</v>
      </c>
      <c r="R6" s="101">
        <f>Дох!$D$9</f>
        <v>1176</v>
      </c>
      <c r="S6" s="101">
        <f>Дох!$D$9</f>
        <v>1176</v>
      </c>
      <c r="T6" s="101">
        <f>Дох!$D$9</f>
        <v>1176</v>
      </c>
      <c r="U6" s="101">
        <f>Дох!$D$9</f>
        <v>1176</v>
      </c>
      <c r="V6" s="101">
        <f>Дох!$D$9</f>
        <v>1176</v>
      </c>
      <c r="W6" s="101">
        <f>Дох!$D$9</f>
        <v>1176</v>
      </c>
      <c r="X6" s="101">
        <f>Дох!$D$9</f>
        <v>1176</v>
      </c>
      <c r="Y6" s="101">
        <f>Дох!$D$9</f>
        <v>1176</v>
      </c>
      <c r="Z6" s="101">
        <f>Дох!$D$9</f>
        <v>1176</v>
      </c>
      <c r="AA6" s="101">
        <f>Дох!$D$9</f>
        <v>1176</v>
      </c>
      <c r="AB6" s="101">
        <f>Дох!$D$9</f>
        <v>1176</v>
      </c>
      <c r="AC6" s="98">
        <f>SUM(Q6:AB6)</f>
        <v>14112</v>
      </c>
      <c r="AD6" s="101">
        <f>Дох!E9*12</f>
        <v>15120</v>
      </c>
      <c r="AE6" s="101">
        <f>Дох!F9*12</f>
        <v>16128</v>
      </c>
      <c r="AF6" s="101">
        <f>Дох!G9*12</f>
        <v>17136</v>
      </c>
      <c r="AG6" s="101">
        <f>Дох!H9*12</f>
        <v>17136</v>
      </c>
      <c r="AH6" s="101">
        <f>Дох!I9*12</f>
        <v>17136</v>
      </c>
      <c r="AI6" s="99"/>
    </row>
    <row r="7" spans="1:35" s="88" customFormat="1">
      <c r="A7" s="100"/>
      <c r="B7" s="97">
        <f t="shared" si="3"/>
        <v>0</v>
      </c>
      <c r="C7" s="98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8">
        <f>SUM(D7:O7)</f>
        <v>0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98">
        <f>SUM(Q7:AB7)</f>
        <v>0</v>
      </c>
      <c r="AD7" s="101"/>
      <c r="AE7" s="101"/>
      <c r="AF7" s="101"/>
      <c r="AG7" s="101"/>
      <c r="AH7" s="101"/>
      <c r="AI7" s="99"/>
    </row>
    <row r="8" spans="1:35" ht="15" customHeight="1">
      <c r="A8" s="96" t="s">
        <v>101</v>
      </c>
      <c r="B8" s="97">
        <f t="shared" si="3"/>
        <v>15992.826299999997</v>
      </c>
      <c r="C8" s="98"/>
      <c r="D8" s="98">
        <f t="shared" ref="D8:AH8" si="4">SUM(D9:D10)</f>
        <v>0</v>
      </c>
      <c r="E8" s="98">
        <f t="shared" si="4"/>
        <v>0</v>
      </c>
      <c r="F8" s="98">
        <f t="shared" si="4"/>
        <v>0</v>
      </c>
      <c r="G8" s="98">
        <f t="shared" si="4"/>
        <v>163.83509999999998</v>
      </c>
      <c r="H8" s="98">
        <f t="shared" si="4"/>
        <v>163.83509999999998</v>
      </c>
      <c r="I8" s="98">
        <f t="shared" si="4"/>
        <v>163.83509999999998</v>
      </c>
      <c r="J8" s="98">
        <f t="shared" si="4"/>
        <v>163.83509999999998</v>
      </c>
      <c r="K8" s="98">
        <f t="shared" si="4"/>
        <v>163.83509999999998</v>
      </c>
      <c r="L8" s="98">
        <f t="shared" si="4"/>
        <v>163.83509999999998</v>
      </c>
      <c r="M8" s="98">
        <f t="shared" si="4"/>
        <v>163.83509999999998</v>
      </c>
      <c r="N8" s="98">
        <f t="shared" si="4"/>
        <v>163.83509999999998</v>
      </c>
      <c r="O8" s="98">
        <f t="shared" si="4"/>
        <v>163.83509999999998</v>
      </c>
      <c r="P8" s="98">
        <f t="shared" si="4"/>
        <v>1474.5158999999999</v>
      </c>
      <c r="Q8" s="98">
        <f t="shared" si="4"/>
        <v>176.43779999999998</v>
      </c>
      <c r="R8" s="98">
        <f t="shared" si="4"/>
        <v>176.43779999999998</v>
      </c>
      <c r="S8" s="98">
        <f t="shared" si="4"/>
        <v>176.43779999999998</v>
      </c>
      <c r="T8" s="98">
        <f t="shared" si="4"/>
        <v>176.43779999999998</v>
      </c>
      <c r="U8" s="98">
        <f t="shared" si="4"/>
        <v>176.43779999999998</v>
      </c>
      <c r="V8" s="98">
        <f t="shared" si="4"/>
        <v>176.43779999999998</v>
      </c>
      <c r="W8" s="98">
        <f t="shared" si="4"/>
        <v>176.43779999999998</v>
      </c>
      <c r="X8" s="98">
        <f t="shared" si="4"/>
        <v>176.43779999999998</v>
      </c>
      <c r="Y8" s="98">
        <f t="shared" si="4"/>
        <v>176.43779999999998</v>
      </c>
      <c r="Z8" s="98">
        <f t="shared" si="4"/>
        <v>176.43779999999998</v>
      </c>
      <c r="AA8" s="98">
        <f t="shared" si="4"/>
        <v>176.43779999999998</v>
      </c>
      <c r="AB8" s="98">
        <f t="shared" si="4"/>
        <v>176.43779999999998</v>
      </c>
      <c r="AC8" s="98">
        <f t="shared" si="4"/>
        <v>2117.2535999999996</v>
      </c>
      <c r="AD8" s="98">
        <f t="shared" si="4"/>
        <v>2268.4859999999999</v>
      </c>
      <c r="AE8" s="98">
        <f t="shared" si="4"/>
        <v>2419.7183999999997</v>
      </c>
      <c r="AF8" s="98">
        <f t="shared" si="4"/>
        <v>2570.9507999999996</v>
      </c>
      <c r="AG8" s="98">
        <f t="shared" si="4"/>
        <v>2570.9507999999996</v>
      </c>
      <c r="AH8" s="98">
        <f t="shared" si="4"/>
        <v>2570.9507999999996</v>
      </c>
    </row>
    <row r="9" spans="1:35">
      <c r="A9" s="100" t="s">
        <v>221</v>
      </c>
      <c r="B9" s="97">
        <f t="shared" si="3"/>
        <v>15992.826299999997</v>
      </c>
      <c r="C9" s="98"/>
      <c r="D9" s="101"/>
      <c r="E9" s="101"/>
      <c r="F9" s="101"/>
      <c r="G9" s="101">
        <f>'Расх перем'!$B$5</f>
        <v>163.83509999999998</v>
      </c>
      <c r="H9" s="101">
        <f>'Расх перем'!$B$5</f>
        <v>163.83509999999998</v>
      </c>
      <c r="I9" s="101">
        <f>'Расх перем'!$B$5</f>
        <v>163.83509999999998</v>
      </c>
      <c r="J9" s="101">
        <f>'Расх перем'!$B$5</f>
        <v>163.83509999999998</v>
      </c>
      <c r="K9" s="101">
        <f>'Расх перем'!$B$5</f>
        <v>163.83509999999998</v>
      </c>
      <c r="L9" s="101">
        <f>'Расх перем'!$B$5</f>
        <v>163.83509999999998</v>
      </c>
      <c r="M9" s="101">
        <f>'Расх перем'!$B$5</f>
        <v>163.83509999999998</v>
      </c>
      <c r="N9" s="101">
        <f>'Расх перем'!$B$5</f>
        <v>163.83509999999998</v>
      </c>
      <c r="O9" s="101">
        <f>'Расх перем'!$B$5</f>
        <v>163.83509999999998</v>
      </c>
      <c r="P9" s="98">
        <f>SUM(D9:O9)</f>
        <v>1474.5158999999999</v>
      </c>
      <c r="Q9" s="101">
        <f>'Расх перем'!$C$5</f>
        <v>176.43779999999998</v>
      </c>
      <c r="R9" s="101">
        <f>'Расх перем'!$C$5</f>
        <v>176.43779999999998</v>
      </c>
      <c r="S9" s="101">
        <f>'Расх перем'!$C$5</f>
        <v>176.43779999999998</v>
      </c>
      <c r="T9" s="101">
        <f>'Расх перем'!$C$5</f>
        <v>176.43779999999998</v>
      </c>
      <c r="U9" s="101">
        <f>'Расх перем'!$C$5</f>
        <v>176.43779999999998</v>
      </c>
      <c r="V9" s="101">
        <f>'Расх перем'!$C$5</f>
        <v>176.43779999999998</v>
      </c>
      <c r="W9" s="101">
        <f>'Расх перем'!$C$5</f>
        <v>176.43779999999998</v>
      </c>
      <c r="X9" s="101">
        <f>'Расх перем'!$C$5</f>
        <v>176.43779999999998</v>
      </c>
      <c r="Y9" s="101">
        <f>'Расх перем'!$C$5</f>
        <v>176.43779999999998</v>
      </c>
      <c r="Z9" s="101">
        <f>'Расх перем'!$C$5</f>
        <v>176.43779999999998</v>
      </c>
      <c r="AA9" s="101">
        <f>'Расх перем'!$C$5</f>
        <v>176.43779999999998</v>
      </c>
      <c r="AB9" s="101">
        <f>'Расх перем'!$C$5</f>
        <v>176.43779999999998</v>
      </c>
      <c r="AC9" s="98">
        <f>SUM(Q9:AB9)</f>
        <v>2117.2535999999996</v>
      </c>
      <c r="AD9" s="101">
        <f>'Расх перем'!D5*12</f>
        <v>2268.4859999999999</v>
      </c>
      <c r="AE9" s="101">
        <f>'Расх перем'!E5*12</f>
        <v>2419.7183999999997</v>
      </c>
      <c r="AF9" s="101">
        <f>'Расх перем'!F5*12</f>
        <v>2570.9507999999996</v>
      </c>
      <c r="AG9" s="101">
        <f>'Расх перем'!G5*12</f>
        <v>2570.9507999999996</v>
      </c>
      <c r="AH9" s="101">
        <f>'Расх перем'!H5*12</f>
        <v>2570.9507999999996</v>
      </c>
    </row>
    <row r="10" spans="1:35" ht="3.75" customHeight="1">
      <c r="A10" s="100"/>
      <c r="B10" s="97">
        <f t="shared" si="3"/>
        <v>0</v>
      </c>
      <c r="C10" s="98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8">
        <f>SUM(D10:O10)</f>
        <v>0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98">
        <f>SUM(Q10:AB10)</f>
        <v>0</v>
      </c>
      <c r="AD10" s="101"/>
      <c r="AE10" s="101"/>
      <c r="AF10" s="101"/>
      <c r="AG10" s="101"/>
      <c r="AH10" s="101"/>
    </row>
    <row r="11" spans="1:35" s="88" customFormat="1" ht="15" customHeight="1">
      <c r="A11" s="96" t="s">
        <v>17</v>
      </c>
      <c r="B11" s="97">
        <f t="shared" si="3"/>
        <v>90603.173700000014</v>
      </c>
      <c r="C11" s="102"/>
      <c r="D11" s="98">
        <f t="shared" ref="D11:AH11" si="5">D5-D8</f>
        <v>0</v>
      </c>
      <c r="E11" s="98">
        <f t="shared" si="5"/>
        <v>0</v>
      </c>
      <c r="F11" s="98">
        <f t="shared" si="5"/>
        <v>0</v>
      </c>
      <c r="G11" s="98">
        <f t="shared" si="5"/>
        <v>928.16489999999999</v>
      </c>
      <c r="H11" s="98">
        <f t="shared" si="5"/>
        <v>928.16489999999999</v>
      </c>
      <c r="I11" s="98">
        <f t="shared" si="5"/>
        <v>928.16489999999999</v>
      </c>
      <c r="J11" s="98">
        <f t="shared" si="5"/>
        <v>928.16489999999999</v>
      </c>
      <c r="K11" s="98">
        <f t="shared" si="5"/>
        <v>928.16489999999999</v>
      </c>
      <c r="L11" s="98">
        <f t="shared" si="5"/>
        <v>928.16489999999999</v>
      </c>
      <c r="M11" s="98">
        <f t="shared" si="5"/>
        <v>928.16489999999999</v>
      </c>
      <c r="N11" s="98">
        <f t="shared" si="5"/>
        <v>928.16489999999999</v>
      </c>
      <c r="O11" s="98">
        <f t="shared" si="5"/>
        <v>928.16489999999999</v>
      </c>
      <c r="P11" s="98">
        <f t="shared" si="5"/>
        <v>8353.4840999999997</v>
      </c>
      <c r="Q11" s="98">
        <f t="shared" si="5"/>
        <v>999.56220000000008</v>
      </c>
      <c r="R11" s="98">
        <f t="shared" si="5"/>
        <v>999.56220000000008</v>
      </c>
      <c r="S11" s="98">
        <f t="shared" si="5"/>
        <v>999.56220000000008</v>
      </c>
      <c r="T11" s="98">
        <f t="shared" si="5"/>
        <v>999.56220000000008</v>
      </c>
      <c r="U11" s="98">
        <f t="shared" si="5"/>
        <v>999.56220000000008</v>
      </c>
      <c r="V11" s="98">
        <f t="shared" si="5"/>
        <v>999.56220000000008</v>
      </c>
      <c r="W11" s="98">
        <f t="shared" si="5"/>
        <v>999.56220000000008</v>
      </c>
      <c r="X11" s="98">
        <f t="shared" si="5"/>
        <v>999.56220000000008</v>
      </c>
      <c r="Y11" s="98">
        <f t="shared" si="5"/>
        <v>999.56220000000008</v>
      </c>
      <c r="Z11" s="98">
        <f t="shared" si="5"/>
        <v>999.56220000000008</v>
      </c>
      <c r="AA11" s="98">
        <f t="shared" si="5"/>
        <v>999.56220000000008</v>
      </c>
      <c r="AB11" s="98">
        <f t="shared" si="5"/>
        <v>999.56220000000008</v>
      </c>
      <c r="AC11" s="98">
        <f t="shared" si="5"/>
        <v>11994.7464</v>
      </c>
      <c r="AD11" s="98">
        <f t="shared" si="5"/>
        <v>12851.513999999999</v>
      </c>
      <c r="AE11" s="98">
        <f t="shared" si="5"/>
        <v>13708.2816</v>
      </c>
      <c r="AF11" s="98">
        <f t="shared" si="5"/>
        <v>14565.049200000001</v>
      </c>
      <c r="AG11" s="98">
        <f t="shared" si="5"/>
        <v>14565.049200000001</v>
      </c>
      <c r="AH11" s="98">
        <f t="shared" si="5"/>
        <v>14565.049200000001</v>
      </c>
    </row>
    <row r="12" spans="1:35" ht="15" customHeight="1">
      <c r="A12" s="103" t="s">
        <v>155</v>
      </c>
      <c r="B12" s="97">
        <f t="shared" si="3"/>
        <v>55093.202999999994</v>
      </c>
      <c r="C12" s="98"/>
      <c r="D12" s="101"/>
      <c r="E12" s="101"/>
      <c r="F12" s="101"/>
      <c r="G12" s="101">
        <f>Пост!$C$15+Пост!$C$17+Пост!$C$20</f>
        <v>680.16300000000001</v>
      </c>
      <c r="H12" s="101">
        <f>Пост!$C$15+Пост!$C$17+Пост!$C$20</f>
        <v>680.16300000000001</v>
      </c>
      <c r="I12" s="101">
        <f>Пост!$C$15+Пост!$C$17+Пост!$C$20</f>
        <v>680.16300000000001</v>
      </c>
      <c r="J12" s="101">
        <f>Пост!$C$15+Пост!$C$17+Пост!$C$20</f>
        <v>680.16300000000001</v>
      </c>
      <c r="K12" s="101">
        <f>Пост!$C$15+Пост!$C$17+Пост!$C$20</f>
        <v>680.16300000000001</v>
      </c>
      <c r="L12" s="101">
        <f>Пост!$C$15+Пост!$C$17+Пост!$C$20</f>
        <v>680.16300000000001</v>
      </c>
      <c r="M12" s="101">
        <f>Пост!$C$15+Пост!$C$17+Пост!$C$20</f>
        <v>680.16300000000001</v>
      </c>
      <c r="N12" s="101">
        <f>Пост!$C$15+Пост!$C$17+Пост!$C$20</f>
        <v>680.16300000000001</v>
      </c>
      <c r="O12" s="101">
        <f>Пост!$C$15+Пост!$C$17+Пост!$C$20</f>
        <v>680.16300000000001</v>
      </c>
      <c r="P12" s="98">
        <f t="shared" ref="P12:P17" si="6">SUM(D12:O12)</f>
        <v>6121.4670000000006</v>
      </c>
      <c r="Q12" s="101">
        <f>Пост!$D$15+Пост!$D$17+Пост!$D$20</f>
        <v>680.16300000000001</v>
      </c>
      <c r="R12" s="101">
        <f>Пост!$D$15+Пост!$D$17+Пост!$D$20</f>
        <v>680.16300000000001</v>
      </c>
      <c r="S12" s="101">
        <f>Пост!$D$15+Пост!$D$17+Пост!$D$20</f>
        <v>680.16300000000001</v>
      </c>
      <c r="T12" s="101">
        <f>Пост!$D$15+Пост!$D$17+Пост!$D$20</f>
        <v>680.16300000000001</v>
      </c>
      <c r="U12" s="101">
        <f>Пост!$D$15+Пост!$D$17+Пост!$D$20</f>
        <v>680.16300000000001</v>
      </c>
      <c r="V12" s="101">
        <f>Пост!$D$15+Пост!$D$17+Пост!$D$20</f>
        <v>680.16300000000001</v>
      </c>
      <c r="W12" s="101">
        <f>Пост!$D$15+Пост!$D$17+Пост!$D$20</f>
        <v>680.16300000000001</v>
      </c>
      <c r="X12" s="101">
        <f>Пост!$D$15+Пост!$D$17+Пост!$D$20</f>
        <v>680.16300000000001</v>
      </c>
      <c r="Y12" s="101">
        <f>Пост!$D$15+Пост!$D$17+Пост!$D$20</f>
        <v>680.16300000000001</v>
      </c>
      <c r="Z12" s="101">
        <f>Пост!$D$15+Пост!$D$17+Пост!$D$20</f>
        <v>680.16300000000001</v>
      </c>
      <c r="AA12" s="101">
        <f>Пост!$D$15+Пост!$D$17+Пост!$D$20</f>
        <v>680.16300000000001</v>
      </c>
      <c r="AB12" s="101">
        <f>Пост!$D$15+Пост!$D$17+Пост!$D$20</f>
        <v>680.16300000000001</v>
      </c>
      <c r="AC12" s="98">
        <f t="shared" ref="AC12:AC17" si="7">SUM(Q12:AB12)</f>
        <v>8161.9560000000019</v>
      </c>
      <c r="AD12" s="101">
        <f>(Пост!E15+Пост!E17+Пост!E20)*12</f>
        <v>8161.9560000000001</v>
      </c>
      <c r="AE12" s="101">
        <f>(Пост!F15+Пост!F17+Пост!F20)*12</f>
        <v>8161.9560000000001</v>
      </c>
      <c r="AF12" s="101">
        <f>(Пост!G15+Пост!G17+Пост!G20)*12</f>
        <v>8161.9560000000001</v>
      </c>
      <c r="AG12" s="101">
        <f>(Пост!H15+Пост!H17+Пост!H20)*12</f>
        <v>8161.9560000000001</v>
      </c>
      <c r="AH12" s="101">
        <f>(Пост!I15+Пост!I17+Пост!I20)*12</f>
        <v>8161.9560000000001</v>
      </c>
    </row>
    <row r="13" spans="1:35" ht="15" customHeight="1">
      <c r="A13" s="103" t="s">
        <v>77</v>
      </c>
      <c r="B13" s="97">
        <f t="shared" si="3"/>
        <v>7192.8000000000011</v>
      </c>
      <c r="C13" s="98"/>
      <c r="D13" s="101"/>
      <c r="E13" s="101"/>
      <c r="F13" s="101"/>
      <c r="G13" s="101">
        <f>Пост!$C$30/12</f>
        <v>88.800000000000011</v>
      </c>
      <c r="H13" s="101">
        <f>Пост!$C$30/12</f>
        <v>88.800000000000011</v>
      </c>
      <c r="I13" s="101">
        <f>Пост!$C$30/12</f>
        <v>88.800000000000011</v>
      </c>
      <c r="J13" s="101">
        <f>Пост!$C$30/12</f>
        <v>88.800000000000011</v>
      </c>
      <c r="K13" s="101">
        <f>Пост!$C$30/12</f>
        <v>88.800000000000011</v>
      </c>
      <c r="L13" s="101">
        <f>Пост!$C$30/12</f>
        <v>88.800000000000011</v>
      </c>
      <c r="M13" s="101">
        <f>Пост!$C$30/12</f>
        <v>88.800000000000011</v>
      </c>
      <c r="N13" s="101">
        <f>Пост!$C$30/12</f>
        <v>88.800000000000011</v>
      </c>
      <c r="O13" s="101">
        <f>Пост!$C$30/12</f>
        <v>88.800000000000011</v>
      </c>
      <c r="P13" s="98">
        <f t="shared" si="6"/>
        <v>799.2</v>
      </c>
      <c r="Q13" s="101">
        <f>Пост!$D$30/12</f>
        <v>88.800000000000011</v>
      </c>
      <c r="R13" s="101">
        <f>Пост!$D$30/12</f>
        <v>88.800000000000011</v>
      </c>
      <c r="S13" s="101">
        <f>Пост!$D$30/12</f>
        <v>88.800000000000011</v>
      </c>
      <c r="T13" s="101">
        <f>Пост!$D$30/12</f>
        <v>88.800000000000011</v>
      </c>
      <c r="U13" s="101">
        <f>Пост!$D$30/12</f>
        <v>88.800000000000011</v>
      </c>
      <c r="V13" s="101">
        <f>Пост!$D$30/12</f>
        <v>88.800000000000011</v>
      </c>
      <c r="W13" s="101">
        <f>Пост!$D$30/12</f>
        <v>88.800000000000011</v>
      </c>
      <c r="X13" s="101">
        <f>Пост!$D$30/12</f>
        <v>88.800000000000011</v>
      </c>
      <c r="Y13" s="101">
        <f>Пост!$D$30/12</f>
        <v>88.800000000000011</v>
      </c>
      <c r="Z13" s="101">
        <f>Пост!$D$30/12</f>
        <v>88.800000000000011</v>
      </c>
      <c r="AA13" s="101">
        <f>Пост!$D$30/12</f>
        <v>88.800000000000011</v>
      </c>
      <c r="AB13" s="101">
        <f>Пост!$D$30/12</f>
        <v>88.800000000000011</v>
      </c>
      <c r="AC13" s="98">
        <f t="shared" si="7"/>
        <v>1065.5999999999999</v>
      </c>
      <c r="AD13" s="101">
        <f>Пост!E30</f>
        <v>1065.6000000000001</v>
      </c>
      <c r="AE13" s="101">
        <f>Пост!F30</f>
        <v>1065.6000000000001</v>
      </c>
      <c r="AF13" s="101">
        <f>Пост!G30</f>
        <v>1065.6000000000001</v>
      </c>
      <c r="AG13" s="101">
        <f>Пост!H30</f>
        <v>1065.6000000000001</v>
      </c>
      <c r="AH13" s="101">
        <f>Пост!I30</f>
        <v>1065.6000000000001</v>
      </c>
    </row>
    <row r="14" spans="1:35" ht="15" customHeight="1">
      <c r="A14" s="103" t="s">
        <v>27</v>
      </c>
      <c r="B14" s="97">
        <f t="shared" si="3"/>
        <v>2747.1168000000052</v>
      </c>
      <c r="C14" s="98"/>
      <c r="D14" s="101">
        <f>кр!C9</f>
        <v>0</v>
      </c>
      <c r="E14" s="101">
        <f>кр!D9</f>
        <v>0</v>
      </c>
      <c r="F14" s="101">
        <f>кр!E9</f>
        <v>42.623999999999995</v>
      </c>
      <c r="G14" s="101">
        <f>кр!F9</f>
        <v>85.24799999999999</v>
      </c>
      <c r="H14" s="101">
        <f>кр!G9</f>
        <v>85.24799999999999</v>
      </c>
      <c r="I14" s="101">
        <f>кр!H9</f>
        <v>87.379200000000012</v>
      </c>
      <c r="J14" s="101">
        <f>кр!I9</f>
        <v>85.846231578947368</v>
      </c>
      <c r="K14" s="101">
        <f>кр!J9</f>
        <v>84.313263157894738</v>
      </c>
      <c r="L14" s="101">
        <f>кр!K9</f>
        <v>82.780294736842109</v>
      </c>
      <c r="M14" s="101">
        <f>кр!L9</f>
        <v>81.247326315789493</v>
      </c>
      <c r="N14" s="101">
        <f>кр!M9</f>
        <v>79.714357894736864</v>
      </c>
      <c r="O14" s="101">
        <f>кр!N9</f>
        <v>78.181389473684234</v>
      </c>
      <c r="P14" s="98">
        <f t="shared" si="6"/>
        <v>792.58206315789471</v>
      </c>
      <c r="Q14" s="101">
        <f>кр!P9</f>
        <v>76.648421052631605</v>
      </c>
      <c r="R14" s="101">
        <f>кр!Q9</f>
        <v>75.115452631578975</v>
      </c>
      <c r="S14" s="101">
        <f>кр!R9</f>
        <v>73.582484210526346</v>
      </c>
      <c r="T14" s="101">
        <f>кр!S9</f>
        <v>72.049515789473716</v>
      </c>
      <c r="U14" s="101">
        <f>кр!T9</f>
        <v>70.516547368421087</v>
      </c>
      <c r="V14" s="101">
        <f>кр!U9</f>
        <v>68.983578947368457</v>
      </c>
      <c r="W14" s="101">
        <f>кр!V9</f>
        <v>67.450610526315828</v>
      </c>
      <c r="X14" s="101">
        <f>кр!W9</f>
        <v>65.917642105263198</v>
      </c>
      <c r="Y14" s="101">
        <f>кр!X9</f>
        <v>64.384673684210568</v>
      </c>
      <c r="Z14" s="101">
        <f>кр!Y9</f>
        <v>62.851705263157946</v>
      </c>
      <c r="AA14" s="101">
        <f>кр!Z9</f>
        <v>61.318736842105316</v>
      </c>
      <c r="AB14" s="101">
        <f>кр!AA9</f>
        <v>59.785768421052687</v>
      </c>
      <c r="AC14" s="98">
        <f t="shared" si="7"/>
        <v>818.60513684210571</v>
      </c>
      <c r="AD14" s="101">
        <f>кр!AO9</f>
        <v>597.85768421052728</v>
      </c>
      <c r="AE14" s="101">
        <f>кр!BB9</f>
        <v>377.1102315789484</v>
      </c>
      <c r="AF14" s="101">
        <f>кр!BO9</f>
        <v>156.36277894736935</v>
      </c>
      <c r="AG14" s="101">
        <f>кр!CB9</f>
        <v>4.5989052631588967</v>
      </c>
      <c r="AH14" s="101">
        <f>кр!CO9</f>
        <v>1.0027179087046534E-12</v>
      </c>
    </row>
    <row r="15" spans="1:35" ht="15" customHeight="1">
      <c r="A15" s="103" t="s">
        <v>276</v>
      </c>
      <c r="B15" s="97">
        <f t="shared" si="3"/>
        <v>25570.053899999995</v>
      </c>
      <c r="C15" s="102"/>
      <c r="D15" s="101">
        <f>D11-D12-D14-D13</f>
        <v>0</v>
      </c>
      <c r="E15" s="101">
        <f t="shared" ref="E15:O15" si="8">E11-E12-E14-E13</f>
        <v>0</v>
      </c>
      <c r="F15" s="101">
        <f t="shared" si="8"/>
        <v>-42.623999999999995</v>
      </c>
      <c r="G15" s="101">
        <f t="shared" si="8"/>
        <v>73.953899999999976</v>
      </c>
      <c r="H15" s="101">
        <f t="shared" si="8"/>
        <v>73.953899999999976</v>
      </c>
      <c r="I15" s="101">
        <f t="shared" si="8"/>
        <v>71.822699999999941</v>
      </c>
      <c r="J15" s="101">
        <f t="shared" si="8"/>
        <v>73.355668421052599</v>
      </c>
      <c r="K15" s="101">
        <f t="shared" si="8"/>
        <v>74.888636842105228</v>
      </c>
      <c r="L15" s="101">
        <f t="shared" si="8"/>
        <v>76.421605263157858</v>
      </c>
      <c r="M15" s="101">
        <f t="shared" si="8"/>
        <v>77.954573684210459</v>
      </c>
      <c r="N15" s="101">
        <f t="shared" si="8"/>
        <v>79.487542105263117</v>
      </c>
      <c r="O15" s="101">
        <f t="shared" si="8"/>
        <v>81.020510526315718</v>
      </c>
      <c r="P15" s="98">
        <f t="shared" si="6"/>
        <v>640.23503684210482</v>
      </c>
      <c r="Q15" s="101">
        <f t="shared" ref="Q15:AB15" si="9">Q11-Q12-Q14-Q13</f>
        <v>153.95077894736846</v>
      </c>
      <c r="R15" s="101">
        <f t="shared" si="9"/>
        <v>155.48374736842106</v>
      </c>
      <c r="S15" s="101">
        <f t="shared" si="9"/>
        <v>157.01671578947372</v>
      </c>
      <c r="T15" s="101">
        <f t="shared" si="9"/>
        <v>158.54968421052632</v>
      </c>
      <c r="U15" s="101">
        <f t="shared" si="9"/>
        <v>160.08265263157898</v>
      </c>
      <c r="V15" s="101">
        <f t="shared" si="9"/>
        <v>161.61562105263158</v>
      </c>
      <c r="W15" s="101">
        <f t="shared" si="9"/>
        <v>163.14858947368424</v>
      </c>
      <c r="X15" s="101">
        <f t="shared" si="9"/>
        <v>164.68155789473684</v>
      </c>
      <c r="Y15" s="101">
        <f t="shared" si="9"/>
        <v>166.2145263157895</v>
      </c>
      <c r="Z15" s="101">
        <f t="shared" si="9"/>
        <v>167.7474947368421</v>
      </c>
      <c r="AA15" s="101">
        <f t="shared" si="9"/>
        <v>169.28046315789476</v>
      </c>
      <c r="AB15" s="101">
        <f t="shared" si="9"/>
        <v>170.81343157894736</v>
      </c>
      <c r="AC15" s="98">
        <f t="shared" si="7"/>
        <v>1948.5852631578948</v>
      </c>
      <c r="AD15" s="101">
        <f>AD11-AD12-AD14-AD13</f>
        <v>3026.100315789472</v>
      </c>
      <c r="AE15" s="101">
        <f>AE11-AE12-AE14-AE13</f>
        <v>4103.6153684210512</v>
      </c>
      <c r="AF15" s="101">
        <f>AF11-AF12-AF14-AF13</f>
        <v>5181.1304210526314</v>
      </c>
      <c r="AG15" s="101">
        <f>AG11-AG12-AG14-AG13</f>
        <v>5332.8942947368423</v>
      </c>
      <c r="AH15" s="101">
        <f>AH11-AH12-AH14-AH13</f>
        <v>5337.4931999999999</v>
      </c>
    </row>
    <row r="16" spans="1:35" ht="15" customHeight="1">
      <c r="A16" s="103" t="s">
        <v>275</v>
      </c>
      <c r="B16" s="97">
        <f t="shared" si="3"/>
        <v>3197.8799999999992</v>
      </c>
      <c r="C16" s="98"/>
      <c r="D16" s="101">
        <f>D5*Исх!$C$19</f>
        <v>0</v>
      </c>
      <c r="E16" s="101">
        <f>E5*Исх!$C$19</f>
        <v>0</v>
      </c>
      <c r="F16" s="101">
        <f>F5*Исх!$C$19</f>
        <v>0</v>
      </c>
      <c r="G16" s="101">
        <f>G5*Исх!$C$19</f>
        <v>32.76</v>
      </c>
      <c r="H16" s="101">
        <f>H5*Исх!$C$19</f>
        <v>32.76</v>
      </c>
      <c r="I16" s="101">
        <f>I5*Исх!$C$19</f>
        <v>32.76</v>
      </c>
      <c r="J16" s="101">
        <f>J5*Исх!$C$19</f>
        <v>32.76</v>
      </c>
      <c r="K16" s="101">
        <f>K5*Исх!$C$19</f>
        <v>32.76</v>
      </c>
      <c r="L16" s="101">
        <f>L5*Исх!$C$19</f>
        <v>32.76</v>
      </c>
      <c r="M16" s="101">
        <f>M5*Исх!$C$19</f>
        <v>32.76</v>
      </c>
      <c r="N16" s="101">
        <f>N5*Исх!$C$19</f>
        <v>32.76</v>
      </c>
      <c r="O16" s="101">
        <f>O5*Исх!$C$19</f>
        <v>32.76</v>
      </c>
      <c r="P16" s="98">
        <f t="shared" si="6"/>
        <v>294.83999999999997</v>
      </c>
      <c r="Q16" s="101">
        <f>Q5*Исх!$C$19</f>
        <v>35.28</v>
      </c>
      <c r="R16" s="101">
        <f>R5*Исх!$C$19</f>
        <v>35.28</v>
      </c>
      <c r="S16" s="101">
        <f>S5*Исх!$C$19</f>
        <v>35.28</v>
      </c>
      <c r="T16" s="101">
        <f>T5*Исх!$C$19</f>
        <v>35.28</v>
      </c>
      <c r="U16" s="101">
        <f>U5*Исх!$C$19</f>
        <v>35.28</v>
      </c>
      <c r="V16" s="101">
        <f>V5*Исх!$C$19</f>
        <v>35.28</v>
      </c>
      <c r="W16" s="101">
        <f>W5*Исх!$C$19</f>
        <v>35.28</v>
      </c>
      <c r="X16" s="101">
        <f>X5*Исх!$C$19</f>
        <v>35.28</v>
      </c>
      <c r="Y16" s="101">
        <f>Y5*Исх!$C$19</f>
        <v>35.28</v>
      </c>
      <c r="Z16" s="101">
        <f>Z5*Исх!$C$19</f>
        <v>35.28</v>
      </c>
      <c r="AA16" s="101">
        <f>AA5*Исх!$C$19</f>
        <v>35.28</v>
      </c>
      <c r="AB16" s="101">
        <f>AB5*Исх!$C$19</f>
        <v>35.28</v>
      </c>
      <c r="AC16" s="98">
        <f t="shared" si="7"/>
        <v>423.3599999999999</v>
      </c>
      <c r="AD16" s="101">
        <f>AD5*Исх!$C$19</f>
        <v>453.59999999999997</v>
      </c>
      <c r="AE16" s="101">
        <f>AE5*Исх!$C$19</f>
        <v>483.84</v>
      </c>
      <c r="AF16" s="101">
        <f>AF5*Исх!$C$19</f>
        <v>514.07999999999993</v>
      </c>
      <c r="AG16" s="101">
        <f>AG5*Исх!$C$19</f>
        <v>514.07999999999993</v>
      </c>
      <c r="AH16" s="101">
        <f>AH5*Исх!$C$19</f>
        <v>514.07999999999993</v>
      </c>
    </row>
    <row r="17" spans="1:177" ht="15" customHeight="1">
      <c r="A17" s="103" t="s">
        <v>4</v>
      </c>
      <c r="B17" s="97">
        <f t="shared" si="3"/>
        <v>22372.173899999998</v>
      </c>
      <c r="C17" s="102"/>
      <c r="D17" s="101">
        <f t="shared" ref="D17:Q17" si="10">D15-D16</f>
        <v>0</v>
      </c>
      <c r="E17" s="101">
        <f>E15-E16</f>
        <v>0</v>
      </c>
      <c r="F17" s="101">
        <f t="shared" si="10"/>
        <v>-42.623999999999995</v>
      </c>
      <c r="G17" s="101">
        <f t="shared" si="10"/>
        <v>41.193899999999978</v>
      </c>
      <c r="H17" s="101">
        <f t="shared" si="10"/>
        <v>41.193899999999978</v>
      </c>
      <c r="I17" s="101">
        <f t="shared" si="10"/>
        <v>39.062699999999943</v>
      </c>
      <c r="J17" s="101">
        <f t="shared" si="10"/>
        <v>40.595668421052601</v>
      </c>
      <c r="K17" s="101">
        <f t="shared" si="10"/>
        <v>42.12863684210523</v>
      </c>
      <c r="L17" s="101">
        <f t="shared" si="10"/>
        <v>43.66160526315786</v>
      </c>
      <c r="M17" s="101">
        <f t="shared" si="10"/>
        <v>45.194573684210461</v>
      </c>
      <c r="N17" s="101">
        <f t="shared" si="10"/>
        <v>46.727542105263119</v>
      </c>
      <c r="O17" s="101">
        <f t="shared" si="10"/>
        <v>48.26051052631572</v>
      </c>
      <c r="P17" s="98">
        <f t="shared" si="6"/>
        <v>345.3950368421049</v>
      </c>
      <c r="Q17" s="101">
        <f t="shared" si="10"/>
        <v>118.67077894736846</v>
      </c>
      <c r="R17" s="101">
        <f t="shared" ref="R17:AF17" si="11">R15-R16</f>
        <v>120.20374736842106</v>
      </c>
      <c r="S17" s="101">
        <f t="shared" si="11"/>
        <v>121.73671578947372</v>
      </c>
      <c r="T17" s="101">
        <f t="shared" si="11"/>
        <v>123.26968421052632</v>
      </c>
      <c r="U17" s="101">
        <f t="shared" si="11"/>
        <v>124.80265263157898</v>
      </c>
      <c r="V17" s="101">
        <f t="shared" si="11"/>
        <v>126.33562105263158</v>
      </c>
      <c r="W17" s="101">
        <f t="shared" si="11"/>
        <v>127.86858947368424</v>
      </c>
      <c r="X17" s="101">
        <f t="shared" si="11"/>
        <v>129.40155789473684</v>
      </c>
      <c r="Y17" s="101">
        <f t="shared" si="11"/>
        <v>130.9345263157895</v>
      </c>
      <c r="Z17" s="101">
        <f t="shared" si="11"/>
        <v>132.4674947368421</v>
      </c>
      <c r="AA17" s="101">
        <f t="shared" si="11"/>
        <v>134.00046315789476</v>
      </c>
      <c r="AB17" s="101">
        <f t="shared" si="11"/>
        <v>135.53343157894736</v>
      </c>
      <c r="AC17" s="98">
        <f t="shared" si="7"/>
        <v>1525.2252631578949</v>
      </c>
      <c r="AD17" s="101">
        <f t="shared" si="11"/>
        <v>2572.5003157894721</v>
      </c>
      <c r="AE17" s="101">
        <f t="shared" si="11"/>
        <v>3619.7753684210511</v>
      </c>
      <c r="AF17" s="101">
        <f t="shared" si="11"/>
        <v>4667.0504210526315</v>
      </c>
      <c r="AG17" s="101">
        <f>AG15-AG16</f>
        <v>4818.8142947368424</v>
      </c>
      <c r="AH17" s="101">
        <f>AH15-AH16</f>
        <v>4823.4132</v>
      </c>
    </row>
    <row r="18" spans="1:177" ht="15" customHeight="1">
      <c r="A18" s="103" t="s">
        <v>32</v>
      </c>
      <c r="B18" s="104">
        <f>AH18</f>
        <v>22372.173899999998</v>
      </c>
      <c r="C18" s="105"/>
      <c r="D18" s="101">
        <f>C18+D17</f>
        <v>0</v>
      </c>
      <c r="E18" s="101">
        <f>D18+E17</f>
        <v>0</v>
      </c>
      <c r="F18" s="101">
        <f t="shared" ref="F18:O18" si="12">E18+F17</f>
        <v>-42.623999999999995</v>
      </c>
      <c r="G18" s="101">
        <f t="shared" si="12"/>
        <v>-1.4301000000000172</v>
      </c>
      <c r="H18" s="101">
        <f t="shared" si="12"/>
        <v>39.763799999999961</v>
      </c>
      <c r="I18" s="101">
        <f t="shared" si="12"/>
        <v>78.826499999999896</v>
      </c>
      <c r="J18" s="101">
        <f t="shared" si="12"/>
        <v>119.4221684210525</v>
      </c>
      <c r="K18" s="101">
        <f t="shared" si="12"/>
        <v>161.55080526315774</v>
      </c>
      <c r="L18" s="101">
        <f t="shared" si="12"/>
        <v>205.21241052631561</v>
      </c>
      <c r="M18" s="101">
        <f t="shared" si="12"/>
        <v>250.40698421052608</v>
      </c>
      <c r="N18" s="101">
        <f t="shared" si="12"/>
        <v>297.13452631578917</v>
      </c>
      <c r="O18" s="101">
        <f t="shared" si="12"/>
        <v>345.3950368421049</v>
      </c>
      <c r="P18" s="98">
        <f>O18</f>
        <v>345.3950368421049</v>
      </c>
      <c r="Q18" s="101">
        <f>P18+Q17</f>
        <v>464.06581578947339</v>
      </c>
      <c r="R18" s="101">
        <f t="shared" ref="R18:AA18" si="13">Q18+R17</f>
        <v>584.26956315789448</v>
      </c>
      <c r="S18" s="101">
        <f t="shared" si="13"/>
        <v>706.00627894736817</v>
      </c>
      <c r="T18" s="101">
        <f t="shared" si="13"/>
        <v>829.27596315789447</v>
      </c>
      <c r="U18" s="101">
        <f t="shared" si="13"/>
        <v>954.07861578947347</v>
      </c>
      <c r="V18" s="101">
        <f t="shared" si="13"/>
        <v>1080.4142368421051</v>
      </c>
      <c r="W18" s="101">
        <f t="shared" si="13"/>
        <v>1208.2828263157894</v>
      </c>
      <c r="X18" s="101">
        <f t="shared" si="13"/>
        <v>1337.6843842105263</v>
      </c>
      <c r="Y18" s="101">
        <f t="shared" si="13"/>
        <v>1468.6189105263159</v>
      </c>
      <c r="Z18" s="101">
        <f t="shared" si="13"/>
        <v>1601.086405263158</v>
      </c>
      <c r="AA18" s="101">
        <f t="shared" si="13"/>
        <v>1735.0868684210527</v>
      </c>
      <c r="AB18" s="101">
        <f>AA18+AB17</f>
        <v>1870.6203</v>
      </c>
      <c r="AC18" s="98">
        <f>AB18</f>
        <v>1870.6203</v>
      </c>
      <c r="AD18" s="101">
        <f>AC18+AD17</f>
        <v>4443.1206157894721</v>
      </c>
      <c r="AE18" s="101">
        <f>AD18+AE17</f>
        <v>8062.8959842105232</v>
      </c>
      <c r="AF18" s="101">
        <f>AE18+AF17</f>
        <v>12729.946405263156</v>
      </c>
      <c r="AG18" s="101">
        <f>AF18+AG17</f>
        <v>17548.760699999999</v>
      </c>
      <c r="AH18" s="101">
        <f>AG18+AH17</f>
        <v>22372.173899999998</v>
      </c>
    </row>
    <row r="19" spans="1:177" ht="15" customHeight="1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</row>
    <row r="20" spans="1:177" ht="15" customHeight="1">
      <c r="A20" s="89"/>
      <c r="B20" s="107"/>
      <c r="C20" s="107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</row>
    <row r="21" spans="1:177" ht="1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</row>
    <row r="22" spans="1:177" hidden="1">
      <c r="A22" s="108" t="s">
        <v>53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177" s="112" customFormat="1" hidden="1">
      <c r="A23" s="273" t="s">
        <v>3</v>
      </c>
      <c r="B23" s="276" t="s">
        <v>0</v>
      </c>
      <c r="C23" s="109"/>
      <c r="D23" s="267">
        <f>D3</f>
        <v>2012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9"/>
      <c r="Q23" s="267">
        <f>Q3</f>
        <v>2013</v>
      </c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  <c r="AD23" s="110">
        <f>AD3</f>
        <v>2014</v>
      </c>
      <c r="AE23" s="110">
        <f>AE3</f>
        <v>2015</v>
      </c>
      <c r="AF23" s="110">
        <f>AF3</f>
        <v>2016</v>
      </c>
      <c r="AG23" s="110">
        <f>AG3</f>
        <v>2017</v>
      </c>
      <c r="AH23" s="110">
        <f>AH3</f>
        <v>2018</v>
      </c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</row>
    <row r="24" spans="1:177" s="112" customFormat="1" ht="19.5" hidden="1" customHeight="1">
      <c r="A24" s="274"/>
      <c r="B24" s="277"/>
      <c r="C24" s="113"/>
      <c r="D24" s="114">
        <f>D4</f>
        <v>1</v>
      </c>
      <c r="E24" s="114">
        <f t="shared" ref="E24:O24" si="14">E4</f>
        <v>2</v>
      </c>
      <c r="F24" s="114">
        <f t="shared" si="14"/>
        <v>3</v>
      </c>
      <c r="G24" s="114">
        <f t="shared" si="14"/>
        <v>4</v>
      </c>
      <c r="H24" s="114">
        <f t="shared" si="14"/>
        <v>5</v>
      </c>
      <c r="I24" s="114">
        <f t="shared" si="14"/>
        <v>6</v>
      </c>
      <c r="J24" s="114">
        <f t="shared" si="14"/>
        <v>7</v>
      </c>
      <c r="K24" s="114">
        <f t="shared" si="14"/>
        <v>8</v>
      </c>
      <c r="L24" s="114">
        <f t="shared" si="14"/>
        <v>9</v>
      </c>
      <c r="M24" s="114">
        <f t="shared" si="14"/>
        <v>10</v>
      </c>
      <c r="N24" s="114">
        <f t="shared" si="14"/>
        <v>11</v>
      </c>
      <c r="O24" s="114">
        <f t="shared" si="14"/>
        <v>12</v>
      </c>
      <c r="P24" s="115" t="s">
        <v>0</v>
      </c>
      <c r="Q24" s="114">
        <f>Q4</f>
        <v>1</v>
      </c>
      <c r="R24" s="114">
        <f t="shared" ref="R24:AB24" si="15">R4</f>
        <v>2</v>
      </c>
      <c r="S24" s="114">
        <f t="shared" si="15"/>
        <v>3</v>
      </c>
      <c r="T24" s="114">
        <f t="shared" si="15"/>
        <v>4</v>
      </c>
      <c r="U24" s="114">
        <f t="shared" si="15"/>
        <v>5</v>
      </c>
      <c r="V24" s="114">
        <f t="shared" si="15"/>
        <v>6</v>
      </c>
      <c r="W24" s="114">
        <f t="shared" si="15"/>
        <v>7</v>
      </c>
      <c r="X24" s="114">
        <f t="shared" si="15"/>
        <v>8</v>
      </c>
      <c r="Y24" s="114">
        <f t="shared" si="15"/>
        <v>9</v>
      </c>
      <c r="Z24" s="114">
        <f t="shared" si="15"/>
        <v>10</v>
      </c>
      <c r="AA24" s="114">
        <f t="shared" si="15"/>
        <v>11</v>
      </c>
      <c r="AB24" s="114">
        <f t="shared" si="15"/>
        <v>12</v>
      </c>
      <c r="AC24" s="115" t="s">
        <v>0</v>
      </c>
      <c r="AD24" s="115"/>
      <c r="AE24" s="115"/>
      <c r="AF24" s="115"/>
      <c r="AG24" s="115"/>
      <c r="AH24" s="115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</row>
    <row r="25" spans="1:177" s="112" customFormat="1" hidden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</row>
    <row r="26" spans="1:177" s="112" customFormat="1" hidden="1">
      <c r="A26" s="116" t="s">
        <v>176</v>
      </c>
      <c r="B26" s="104">
        <f>P26+AC26+AD26+AE26+AF26+AG26+AH26</f>
        <v>0</v>
      </c>
      <c r="C26" s="118"/>
      <c r="D26" s="118">
        <f>D5*ндс</f>
        <v>0</v>
      </c>
      <c r="E26" s="118">
        <f>E5*ндс</f>
        <v>0</v>
      </c>
      <c r="F26" s="118">
        <f t="shared" ref="F26:O26" si="16">F5*ндс</f>
        <v>0</v>
      </c>
      <c r="G26" s="118">
        <f t="shared" si="16"/>
        <v>0</v>
      </c>
      <c r="H26" s="118">
        <f t="shared" si="16"/>
        <v>0</v>
      </c>
      <c r="I26" s="118">
        <f t="shared" si="16"/>
        <v>0</v>
      </c>
      <c r="J26" s="118">
        <f t="shared" si="16"/>
        <v>0</v>
      </c>
      <c r="K26" s="118">
        <f t="shared" si="16"/>
        <v>0</v>
      </c>
      <c r="L26" s="118">
        <f t="shared" si="16"/>
        <v>0</v>
      </c>
      <c r="M26" s="118">
        <f>M5*ндс</f>
        <v>0</v>
      </c>
      <c r="N26" s="118">
        <f t="shared" si="16"/>
        <v>0</v>
      </c>
      <c r="O26" s="118">
        <f t="shared" si="16"/>
        <v>0</v>
      </c>
      <c r="P26" s="119">
        <f>SUM(D26:O26)</f>
        <v>0</v>
      </c>
      <c r="Q26" s="118">
        <f t="shared" ref="Q26:AF26" si="17">Q5*ндс</f>
        <v>0</v>
      </c>
      <c r="R26" s="118">
        <f t="shared" si="17"/>
        <v>0</v>
      </c>
      <c r="S26" s="118">
        <f t="shared" si="17"/>
        <v>0</v>
      </c>
      <c r="T26" s="118">
        <f t="shared" si="17"/>
        <v>0</v>
      </c>
      <c r="U26" s="118">
        <f t="shared" si="17"/>
        <v>0</v>
      </c>
      <c r="V26" s="118">
        <f t="shared" si="17"/>
        <v>0</v>
      </c>
      <c r="W26" s="118">
        <f t="shared" si="17"/>
        <v>0</v>
      </c>
      <c r="X26" s="118">
        <f t="shared" si="17"/>
        <v>0</v>
      </c>
      <c r="Y26" s="118">
        <f t="shared" si="17"/>
        <v>0</v>
      </c>
      <c r="Z26" s="118">
        <f t="shared" si="17"/>
        <v>0</v>
      </c>
      <c r="AA26" s="118">
        <f t="shared" si="17"/>
        <v>0</v>
      </c>
      <c r="AB26" s="118">
        <f t="shared" si="17"/>
        <v>0</v>
      </c>
      <c r="AC26" s="119">
        <f>SUM(Q26:AB26)</f>
        <v>0</v>
      </c>
      <c r="AD26" s="118">
        <f t="shared" si="17"/>
        <v>0</v>
      </c>
      <c r="AE26" s="118">
        <f t="shared" si="17"/>
        <v>0</v>
      </c>
      <c r="AF26" s="118">
        <f t="shared" si="17"/>
        <v>0</v>
      </c>
      <c r="AG26" s="118">
        <f>AG5*ндс</f>
        <v>0</v>
      </c>
      <c r="AH26" s="118">
        <f>AH5*ндс</f>
        <v>0</v>
      </c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</row>
    <row r="27" spans="1:177" s="112" customFormat="1" hidden="1">
      <c r="A27" s="116" t="s">
        <v>177</v>
      </c>
      <c r="B27" s="104">
        <f>P27+AC27+AD27+AE27+AF27+AG27+AH27</f>
        <v>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>
        <f>SUM(D27:O27)</f>
        <v>0</v>
      </c>
      <c r="Q27" s="118">
        <f>(Q8+Q12-Пост!$D$6-Пост!$D$17-Пост!$D$20)*ндс+'1-Ф3'!AB13*2/Исх!$C$18*ндс</f>
        <v>0</v>
      </c>
      <c r="R27" s="118">
        <f>(R8+R12-Пост!$D$6-Пост!$D$17-Пост!$D$20)*ндс</f>
        <v>0</v>
      </c>
      <c r="S27" s="118">
        <f>(S8+S12-Пост!$D$6-Пост!$D$17-Пост!$D$20)*ндс</f>
        <v>0</v>
      </c>
      <c r="T27" s="118">
        <f>(T8+T12-Пост!$D$6-Пост!$D$17-Пост!$D$20)*ндс</f>
        <v>0</v>
      </c>
      <c r="U27" s="118">
        <f>(U8+U12-Пост!$D$6-Пост!$D$17-Пост!$D$20)*ндс</f>
        <v>0</v>
      </c>
      <c r="V27" s="118">
        <f>(V8+V12-Пост!$D$6-Пост!$D$17-Пост!$D$20)*ндс</f>
        <v>0</v>
      </c>
      <c r="W27" s="118">
        <f>(W8+W12-Пост!$D$6-Пост!$D$17-Пост!$D$20)*ндс</f>
        <v>0</v>
      </c>
      <c r="X27" s="118">
        <f>(X8+X12-Пост!$D$6-Пост!$D$17-Пост!$D$20)*ндс</f>
        <v>0</v>
      </c>
      <c r="Y27" s="118">
        <f>(Y8+Y12-Пост!$D$6-Пост!$D$17-Пост!$D$20)*ндс</f>
        <v>0</v>
      </c>
      <c r="Z27" s="118">
        <f>(Z8+Z12-Пост!$D$6-Пост!$D$17-Пост!$D$20)*ндс</f>
        <v>0</v>
      </c>
      <c r="AA27" s="118">
        <f>(AA8+AA12-Пост!$D$6-Пост!$D$17-Пост!$D$20)*ндс</f>
        <v>0</v>
      </c>
      <c r="AB27" s="118">
        <f>(AB8+AB12-Пост!$D$6-Пост!$D$17-Пост!$D$20)*ндс</f>
        <v>0</v>
      </c>
      <c r="AC27" s="119">
        <f>SUM(Q27:AB27)</f>
        <v>0</v>
      </c>
      <c r="AD27" s="118">
        <f>(AD8+AD12-Пост!E6*12-Пост!E17*12-Пост!E20*12)*ндс</f>
        <v>0</v>
      </c>
      <c r="AE27" s="118">
        <f>(AE8+AE12-Пост!F6*12-Пост!F17*12-Пост!F20*12)*ндс</f>
        <v>0</v>
      </c>
      <c r="AF27" s="118">
        <f>(AF8+AF12-Пост!G6*12-Пост!G17*12-Пост!G20*12)*ндс</f>
        <v>0</v>
      </c>
      <c r="AG27" s="118">
        <f>(AG8+AG12-Пост!H6*12-Пост!H17*12-Пост!H20*12)*ндс</f>
        <v>0</v>
      </c>
      <c r="AH27" s="118">
        <f>(AH8+AH12-Пост!I6*12-Пост!I17*12-Пост!I20*12)*ндс</f>
        <v>0</v>
      </c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</row>
    <row r="28" spans="1:177" s="112" customFormat="1" hidden="1">
      <c r="A28" s="116" t="s">
        <v>178</v>
      </c>
      <c r="B28" s="104">
        <f>P28+AC28+AD28+AE28+AF28+AG28+AH28</f>
        <v>0</v>
      </c>
      <c r="C28" s="118"/>
      <c r="D28" s="118">
        <f>Инв!E14/Исх!$C$18*ндс</f>
        <v>0</v>
      </c>
      <c r="E28" s="118">
        <f>Инв!F14/Исх!$C$18*ндс</f>
        <v>0</v>
      </c>
      <c r="F28" s="118">
        <f>Инв!G14/Исх!$C$18*ндс</f>
        <v>0</v>
      </c>
      <c r="G28" s="118">
        <f>Инв!H14/Исх!$C$18*ндс</f>
        <v>0</v>
      </c>
      <c r="H28" s="118">
        <f>Инв!I14/Исх!$C$18*ндс</f>
        <v>0</v>
      </c>
      <c r="I28" s="118">
        <f>Инв!J14/Исх!$C$18*ндс</f>
        <v>0</v>
      </c>
      <c r="J28" s="118">
        <f>Инв!K14/Исх!$C$18*ндс</f>
        <v>0</v>
      </c>
      <c r="K28" s="118">
        <f>Инв!L14/Исх!$C$18*ндс</f>
        <v>0</v>
      </c>
      <c r="L28" s="118">
        <f>Инв!M14/Исх!$C$18*ндс</f>
        <v>0</v>
      </c>
      <c r="M28" s="118">
        <f>Инв!N14/Исх!$C$18*ндс</f>
        <v>0</v>
      </c>
      <c r="N28" s="118">
        <f>Инв!O14/Исх!$C$18*ндс</f>
        <v>0</v>
      </c>
      <c r="O28" s="118">
        <f>Инв!P14/Исх!$C$18*ндс</f>
        <v>0</v>
      </c>
      <c r="P28" s="119">
        <f>SUM(D28:O28)</f>
        <v>0</v>
      </c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9"/>
      <c r="AD28" s="119"/>
      <c r="AE28" s="119"/>
      <c r="AF28" s="119"/>
      <c r="AG28" s="119"/>
      <c r="AH28" s="119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</row>
    <row r="29" spans="1:177" s="112" customFormat="1" hidden="1">
      <c r="A29" s="116" t="s">
        <v>30</v>
      </c>
      <c r="B29" s="104">
        <f>P29+AC29+AD29+AE29+AF29+AG29+AH29</f>
        <v>0</v>
      </c>
      <c r="C29" s="118"/>
      <c r="D29" s="118">
        <f>D26-D27-D28</f>
        <v>0</v>
      </c>
      <c r="E29" s="118">
        <f t="shared" ref="E29:O29" si="18">E26-E27-E28</f>
        <v>0</v>
      </c>
      <c r="F29" s="118">
        <f t="shared" si="18"/>
        <v>0</v>
      </c>
      <c r="G29" s="118">
        <f t="shared" si="18"/>
        <v>0</v>
      </c>
      <c r="H29" s="118">
        <f t="shared" si="18"/>
        <v>0</v>
      </c>
      <c r="I29" s="118">
        <f t="shared" si="18"/>
        <v>0</v>
      </c>
      <c r="J29" s="118">
        <f t="shared" si="18"/>
        <v>0</v>
      </c>
      <c r="K29" s="118">
        <f t="shared" si="18"/>
        <v>0</v>
      </c>
      <c r="L29" s="118">
        <f t="shared" si="18"/>
        <v>0</v>
      </c>
      <c r="M29" s="118">
        <f t="shared" si="18"/>
        <v>0</v>
      </c>
      <c r="N29" s="118">
        <f t="shared" si="18"/>
        <v>0</v>
      </c>
      <c r="O29" s="118">
        <f t="shared" si="18"/>
        <v>0</v>
      </c>
      <c r="P29" s="119">
        <f>SUM(D29:O29)</f>
        <v>0</v>
      </c>
      <c r="Q29" s="118">
        <f t="shared" ref="Q29:AB29" si="19">Q26-Q27-Q28</f>
        <v>0</v>
      </c>
      <c r="R29" s="118">
        <f t="shared" si="19"/>
        <v>0</v>
      </c>
      <c r="S29" s="118">
        <f t="shared" si="19"/>
        <v>0</v>
      </c>
      <c r="T29" s="118">
        <f t="shared" si="19"/>
        <v>0</v>
      </c>
      <c r="U29" s="118">
        <f t="shared" si="19"/>
        <v>0</v>
      </c>
      <c r="V29" s="118">
        <f t="shared" si="19"/>
        <v>0</v>
      </c>
      <c r="W29" s="118">
        <f t="shared" si="19"/>
        <v>0</v>
      </c>
      <c r="X29" s="118">
        <f t="shared" si="19"/>
        <v>0</v>
      </c>
      <c r="Y29" s="118">
        <f t="shared" si="19"/>
        <v>0</v>
      </c>
      <c r="Z29" s="118">
        <f t="shared" si="19"/>
        <v>0</v>
      </c>
      <c r="AA29" s="118">
        <f t="shared" si="19"/>
        <v>0</v>
      </c>
      <c r="AB29" s="118">
        <f t="shared" si="19"/>
        <v>0</v>
      </c>
      <c r="AC29" s="119">
        <f>SUM(Q29:AB29)</f>
        <v>0</v>
      </c>
      <c r="AD29" s="118">
        <f>AD26-AD27-AD28</f>
        <v>0</v>
      </c>
      <c r="AE29" s="118">
        <f>AE26-AE27-AE28</f>
        <v>0</v>
      </c>
      <c r="AF29" s="118">
        <f>AF26-AF27-AF28</f>
        <v>0</v>
      </c>
      <c r="AG29" s="118">
        <f>AG26-AG27-AG28</f>
        <v>0</v>
      </c>
      <c r="AH29" s="118">
        <f>AH26-AH27-AH28</f>
        <v>0</v>
      </c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</row>
    <row r="30" spans="1:177" s="112" customFormat="1" hidden="1">
      <c r="A30" s="116" t="s">
        <v>179</v>
      </c>
      <c r="B30" s="104">
        <f>AH30</f>
        <v>0</v>
      </c>
      <c r="C30" s="118"/>
      <c r="D30" s="118">
        <f>D29</f>
        <v>0</v>
      </c>
      <c r="E30" s="118">
        <f>D30+E29</f>
        <v>0</v>
      </c>
      <c r="F30" s="118">
        <f t="shared" ref="F30:O30" si="20">E30+F29</f>
        <v>0</v>
      </c>
      <c r="G30" s="118">
        <f t="shared" si="20"/>
        <v>0</v>
      </c>
      <c r="H30" s="118">
        <f t="shared" si="20"/>
        <v>0</v>
      </c>
      <c r="I30" s="118">
        <f t="shared" si="20"/>
        <v>0</v>
      </c>
      <c r="J30" s="118">
        <f t="shared" si="20"/>
        <v>0</v>
      </c>
      <c r="K30" s="118">
        <f t="shared" si="20"/>
        <v>0</v>
      </c>
      <c r="L30" s="118">
        <f t="shared" si="20"/>
        <v>0</v>
      </c>
      <c r="M30" s="118">
        <f t="shared" si="20"/>
        <v>0</v>
      </c>
      <c r="N30" s="118">
        <f t="shared" si="20"/>
        <v>0</v>
      </c>
      <c r="O30" s="118">
        <f t="shared" si="20"/>
        <v>0</v>
      </c>
      <c r="P30" s="119">
        <f>O30</f>
        <v>0</v>
      </c>
      <c r="Q30" s="118">
        <f t="shared" ref="Q30:AB30" si="21">P30+Q29</f>
        <v>0</v>
      </c>
      <c r="R30" s="118">
        <f t="shared" si="21"/>
        <v>0</v>
      </c>
      <c r="S30" s="118">
        <f t="shared" si="21"/>
        <v>0</v>
      </c>
      <c r="T30" s="118">
        <f t="shared" si="21"/>
        <v>0</v>
      </c>
      <c r="U30" s="118">
        <f t="shared" si="21"/>
        <v>0</v>
      </c>
      <c r="V30" s="118">
        <f t="shared" si="21"/>
        <v>0</v>
      </c>
      <c r="W30" s="118">
        <f t="shared" si="21"/>
        <v>0</v>
      </c>
      <c r="X30" s="118">
        <f t="shared" si="21"/>
        <v>0</v>
      </c>
      <c r="Y30" s="118">
        <f t="shared" si="21"/>
        <v>0</v>
      </c>
      <c r="Z30" s="118">
        <f t="shared" si="21"/>
        <v>0</v>
      </c>
      <c r="AA30" s="118">
        <f t="shared" si="21"/>
        <v>0</v>
      </c>
      <c r="AB30" s="118">
        <f t="shared" si="21"/>
        <v>0</v>
      </c>
      <c r="AC30" s="119">
        <f>AB30</f>
        <v>0</v>
      </c>
      <c r="AD30" s="118">
        <f>AC30+AD29</f>
        <v>0</v>
      </c>
      <c r="AE30" s="118">
        <f>AD30+AE29</f>
        <v>0</v>
      </c>
      <c r="AF30" s="118">
        <f>AE30+AF29</f>
        <v>0</v>
      </c>
      <c r="AG30" s="118">
        <f>AF30+AG29</f>
        <v>0</v>
      </c>
      <c r="AH30" s="118">
        <f>AG30+AH29</f>
        <v>0</v>
      </c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</row>
    <row r="31" spans="1:177" s="112" customFormat="1" hidden="1">
      <c r="A31" s="116" t="s">
        <v>180</v>
      </c>
      <c r="B31" s="104">
        <f>P31+AC31+AD31+AE31+AF31+AG31+AH31</f>
        <v>0</v>
      </c>
      <c r="C31" s="118"/>
      <c r="D31" s="118">
        <f>IF(C30+D29&gt;=0,IF(C30&lt;0,C30+D29,D29),0)</f>
        <v>0</v>
      </c>
      <c r="E31" s="118">
        <f t="shared" ref="E31:AH31" si="22">IF(D30+E29&gt;=0,IF(D30&lt;0,D30+E29,E29),0)</f>
        <v>0</v>
      </c>
      <c r="F31" s="118">
        <f t="shared" si="22"/>
        <v>0</v>
      </c>
      <c r="G31" s="118">
        <f t="shared" si="22"/>
        <v>0</v>
      </c>
      <c r="H31" s="118">
        <f t="shared" si="22"/>
        <v>0</v>
      </c>
      <c r="I31" s="118">
        <f t="shared" si="22"/>
        <v>0</v>
      </c>
      <c r="J31" s="118">
        <f t="shared" si="22"/>
        <v>0</v>
      </c>
      <c r="K31" s="118">
        <f t="shared" si="22"/>
        <v>0</v>
      </c>
      <c r="L31" s="118">
        <f t="shared" si="22"/>
        <v>0</v>
      </c>
      <c r="M31" s="118">
        <f t="shared" si="22"/>
        <v>0</v>
      </c>
      <c r="N31" s="118">
        <f t="shared" si="22"/>
        <v>0</v>
      </c>
      <c r="O31" s="118">
        <f t="shared" si="22"/>
        <v>0</v>
      </c>
      <c r="P31" s="119">
        <f>SUM(D31:O31)</f>
        <v>0</v>
      </c>
      <c r="Q31" s="118">
        <f t="shared" si="22"/>
        <v>0</v>
      </c>
      <c r="R31" s="118">
        <f t="shared" si="22"/>
        <v>0</v>
      </c>
      <c r="S31" s="118">
        <f t="shared" si="22"/>
        <v>0</v>
      </c>
      <c r="T31" s="118">
        <f t="shared" si="22"/>
        <v>0</v>
      </c>
      <c r="U31" s="118">
        <f t="shared" si="22"/>
        <v>0</v>
      </c>
      <c r="V31" s="118">
        <f t="shared" si="22"/>
        <v>0</v>
      </c>
      <c r="W31" s="118">
        <f t="shared" si="22"/>
        <v>0</v>
      </c>
      <c r="X31" s="118">
        <f t="shared" si="22"/>
        <v>0</v>
      </c>
      <c r="Y31" s="118">
        <f t="shared" si="22"/>
        <v>0</v>
      </c>
      <c r="Z31" s="118">
        <f t="shared" si="22"/>
        <v>0</v>
      </c>
      <c r="AA31" s="118">
        <f t="shared" si="22"/>
        <v>0</v>
      </c>
      <c r="AB31" s="118">
        <f t="shared" si="22"/>
        <v>0</v>
      </c>
      <c r="AC31" s="119">
        <f>SUM(Q31:AB31)</f>
        <v>0</v>
      </c>
      <c r="AD31" s="118">
        <f t="shared" si="22"/>
        <v>0</v>
      </c>
      <c r="AE31" s="118">
        <f t="shared" si="22"/>
        <v>0</v>
      </c>
      <c r="AF31" s="118">
        <f t="shared" si="22"/>
        <v>0</v>
      </c>
      <c r="AG31" s="118">
        <f t="shared" si="22"/>
        <v>0</v>
      </c>
      <c r="AH31" s="118">
        <f t="shared" si="22"/>
        <v>0</v>
      </c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</row>
    <row r="32" spans="1:177" hidden="1"/>
    <row r="33" spans="2:2" hidden="1">
      <c r="B33" s="260">
        <f>B26-B27-B28</f>
        <v>0</v>
      </c>
    </row>
  </sheetData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honeticPr fontId="2" type="noConversion"/>
  <pageMargins left="0.35433070866141736" right="0.23622047244094491" top="0.74803149606299213" bottom="0.23622047244094491" header="0.47244094488188981" footer="0.15748031496062992"/>
  <pageSetup paperSize="9" orientation="landscape" r:id="rId1"/>
  <headerFooter alignWithMargins="0">
    <oddHeader>&amp;RПриложение 2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0"/>
  <sheetViews>
    <sheetView showGridLines="0" showZeros="0" zoomScaleNormal="100" workbookViewId="0">
      <pane xSplit="3" ySplit="4" topLeftCell="D17" activePane="bottomRight" state="frozen"/>
      <selection activeCell="G35" sqref="G35"/>
      <selection pane="topRight" activeCell="G35" sqref="G35"/>
      <selection pane="bottomLeft" activeCell="G35" sqref="G35"/>
      <selection pane="bottomRight" activeCell="AJ14" sqref="AJ14"/>
    </sheetView>
  </sheetViews>
  <sheetFormatPr defaultColWidth="10.140625" defaultRowHeight="12.75" outlineLevelCol="1"/>
  <cols>
    <col min="1" max="1" width="38.140625" style="121" customWidth="1"/>
    <col min="2" max="2" width="2.42578125" style="121" customWidth="1"/>
    <col min="3" max="3" width="7.140625" style="121" customWidth="1"/>
    <col min="4" max="4" width="11.42578125" style="121" hidden="1" customWidth="1" outlineLevel="1"/>
    <col min="5" max="11" width="7.42578125" style="121" hidden="1" customWidth="1" outlineLevel="1"/>
    <col min="12" max="12" width="8" style="121" hidden="1" customWidth="1" outlineLevel="1"/>
    <col min="13" max="13" width="7.85546875" style="121" hidden="1" customWidth="1" outlineLevel="1"/>
    <col min="14" max="15" width="8.140625" style="121" hidden="1" customWidth="1" outlineLevel="1"/>
    <col min="16" max="16" width="9.85546875" style="121" customWidth="1" collapsed="1"/>
    <col min="17" max="23" width="8.42578125" style="121" hidden="1" customWidth="1" outlineLevel="1"/>
    <col min="24" max="25" width="8.7109375" style="121" hidden="1" customWidth="1" outlineLevel="1"/>
    <col min="26" max="26" width="8.5703125" style="121" hidden="1" customWidth="1" outlineLevel="1"/>
    <col min="27" max="27" width="9" style="121" hidden="1" customWidth="1" outlineLevel="1"/>
    <col min="28" max="28" width="9.140625" style="121" hidden="1" customWidth="1" outlineLevel="1"/>
    <col min="29" max="29" width="10.140625" style="121" customWidth="1" collapsed="1"/>
    <col min="30" max="30" width="9.85546875" style="121" customWidth="1"/>
    <col min="31" max="31" width="9.7109375" style="121" customWidth="1"/>
    <col min="32" max="32" width="9.5703125" style="121" customWidth="1"/>
    <col min="33" max="34" width="9.7109375" style="121" customWidth="1"/>
    <col min="35" max="16384" width="10.140625" style="121"/>
  </cols>
  <sheetData>
    <row r="1" spans="1:183">
      <c r="A1" s="61" t="s">
        <v>123</v>
      </c>
      <c r="B1" s="120"/>
      <c r="C1" s="120"/>
    </row>
    <row r="2" spans="1:183" ht="17.25" customHeight="1">
      <c r="A2" s="61"/>
      <c r="C2" s="12" t="str">
        <f>Исх!$C$9</f>
        <v>тыс.тг.</v>
      </c>
      <c r="P2" s="122"/>
      <c r="AC2" s="122"/>
      <c r="AD2" s="122"/>
      <c r="AE2" s="122"/>
      <c r="AF2" s="122"/>
      <c r="AG2" s="122"/>
      <c r="AH2" s="122"/>
    </row>
    <row r="3" spans="1:183" ht="12.75" customHeight="1">
      <c r="A3" s="278" t="s">
        <v>3</v>
      </c>
      <c r="B3" s="280"/>
      <c r="C3" s="124"/>
      <c r="D3" s="281">
        <v>2012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>
        <v>2013</v>
      </c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125">
        <f>Q3+1</f>
        <v>2014</v>
      </c>
      <c r="AE3" s="125">
        <f>AD3+1</f>
        <v>2015</v>
      </c>
      <c r="AF3" s="125">
        <f>AE3+1</f>
        <v>2016</v>
      </c>
      <c r="AG3" s="125">
        <f>AF3+1</f>
        <v>2017</v>
      </c>
      <c r="AH3" s="125">
        <f>AG3+1</f>
        <v>2018</v>
      </c>
    </row>
    <row r="4" spans="1:183">
      <c r="A4" s="279"/>
      <c r="B4" s="280"/>
      <c r="C4" s="126"/>
      <c r="D4" s="127">
        <v>1</v>
      </c>
      <c r="E4" s="127">
        <f>D4+1</f>
        <v>2</v>
      </c>
      <c r="F4" s="127">
        <f t="shared" ref="F4:O4" si="0">E4+1</f>
        <v>3</v>
      </c>
      <c r="G4" s="127">
        <f t="shared" si="0"/>
        <v>4</v>
      </c>
      <c r="H4" s="127">
        <f t="shared" si="0"/>
        <v>5</v>
      </c>
      <c r="I4" s="127">
        <f t="shared" si="0"/>
        <v>6</v>
      </c>
      <c r="J4" s="127">
        <f t="shared" si="0"/>
        <v>7</v>
      </c>
      <c r="K4" s="127">
        <f t="shared" si="0"/>
        <v>8</v>
      </c>
      <c r="L4" s="127">
        <f t="shared" si="0"/>
        <v>9</v>
      </c>
      <c r="M4" s="127">
        <f t="shared" si="0"/>
        <v>10</v>
      </c>
      <c r="N4" s="127">
        <f t="shared" si="0"/>
        <v>11</v>
      </c>
      <c r="O4" s="127">
        <f t="shared" si="0"/>
        <v>12</v>
      </c>
      <c r="P4" s="123" t="s">
        <v>0</v>
      </c>
      <c r="Q4" s="127">
        <v>1</v>
      </c>
      <c r="R4" s="127">
        <f t="shared" ref="R4:AB4" si="1">Q4+1</f>
        <v>2</v>
      </c>
      <c r="S4" s="127">
        <f t="shared" si="1"/>
        <v>3</v>
      </c>
      <c r="T4" s="127">
        <f t="shared" si="1"/>
        <v>4</v>
      </c>
      <c r="U4" s="127">
        <f t="shared" si="1"/>
        <v>5</v>
      </c>
      <c r="V4" s="127">
        <f t="shared" si="1"/>
        <v>6</v>
      </c>
      <c r="W4" s="127">
        <f t="shared" si="1"/>
        <v>7</v>
      </c>
      <c r="X4" s="127">
        <f t="shared" si="1"/>
        <v>8</v>
      </c>
      <c r="Y4" s="127">
        <f t="shared" si="1"/>
        <v>9</v>
      </c>
      <c r="Z4" s="127">
        <f t="shared" si="1"/>
        <v>10</v>
      </c>
      <c r="AA4" s="127">
        <f t="shared" si="1"/>
        <v>11</v>
      </c>
      <c r="AB4" s="127">
        <f t="shared" si="1"/>
        <v>12</v>
      </c>
      <c r="AC4" s="123" t="s">
        <v>0</v>
      </c>
      <c r="AD4" s="123"/>
      <c r="AE4" s="123"/>
      <c r="AF4" s="123"/>
      <c r="AG4" s="123"/>
      <c r="AH4" s="123"/>
    </row>
    <row r="5" spans="1:183" s="132" customFormat="1" ht="15" customHeight="1">
      <c r="A5" s="128" t="s">
        <v>124</v>
      </c>
      <c r="B5" s="129"/>
      <c r="C5" s="130">
        <f>C11+C6</f>
        <v>0</v>
      </c>
      <c r="D5" s="130">
        <f>D11+D6</f>
        <v>0</v>
      </c>
      <c r="E5" s="130">
        <f t="shared" ref="E5:AH5" si="2">E11+E6</f>
        <v>5328</v>
      </c>
      <c r="F5" s="130">
        <f t="shared" si="2"/>
        <v>10656</v>
      </c>
      <c r="G5" s="130">
        <f t="shared" si="2"/>
        <v>10782.441900000002</v>
      </c>
      <c r="H5" s="130">
        <f t="shared" si="2"/>
        <v>10908.883800000001</v>
      </c>
      <c r="I5" s="130">
        <f t="shared" si="2"/>
        <v>10794.649657894739</v>
      </c>
      <c r="J5" s="130">
        <f t="shared" si="2"/>
        <v>10681.948484210528</v>
      </c>
      <c r="K5" s="130">
        <f t="shared" si="2"/>
        <v>10570.780278947372</v>
      </c>
      <c r="L5" s="130">
        <f t="shared" si="2"/>
        <v>10461.145042105267</v>
      </c>
      <c r="M5" s="130">
        <f t="shared" si="2"/>
        <v>10353.042773684216</v>
      </c>
      <c r="N5" s="130">
        <f t="shared" si="2"/>
        <v>10246.473473684217</v>
      </c>
      <c r="O5" s="130">
        <f t="shared" si="2"/>
        <v>10141.437142105269</v>
      </c>
      <c r="P5" s="130">
        <f t="shared" si="2"/>
        <v>10141.437142105269</v>
      </c>
      <c r="Q5" s="130">
        <f t="shared" si="2"/>
        <v>10106.811078947376</v>
      </c>
      <c r="R5" s="130">
        <f t="shared" si="2"/>
        <v>10073.717984210534</v>
      </c>
      <c r="S5" s="130">
        <f t="shared" si="2"/>
        <v>10042.157857894745</v>
      </c>
      <c r="T5" s="130">
        <f t="shared" si="2"/>
        <v>10012.130700000009</v>
      </c>
      <c r="U5" s="130">
        <f t="shared" si="2"/>
        <v>9983.6365105263267</v>
      </c>
      <c r="V5" s="130">
        <f t="shared" si="2"/>
        <v>9956.6752894736946</v>
      </c>
      <c r="W5" s="130">
        <f t="shared" si="2"/>
        <v>9931.2470368421164</v>
      </c>
      <c r="X5" s="130">
        <f t="shared" si="2"/>
        <v>9907.3517526315918</v>
      </c>
      <c r="Y5" s="130">
        <f t="shared" si="2"/>
        <v>9884.9894368421192</v>
      </c>
      <c r="Z5" s="130">
        <f t="shared" si="2"/>
        <v>9864.1600894736985</v>
      </c>
      <c r="AA5" s="130">
        <f t="shared" si="2"/>
        <v>9844.8637105263297</v>
      </c>
      <c r="AB5" s="130">
        <f t="shared" si="2"/>
        <v>9827.1003000000164</v>
      </c>
      <c r="AC5" s="130">
        <f t="shared" si="2"/>
        <v>9827.1003000000164</v>
      </c>
      <c r="AD5" s="130">
        <f t="shared" si="2"/>
        <v>10560.03851052633</v>
      </c>
      <c r="AE5" s="130">
        <f t="shared" si="2"/>
        <v>12340.251773684224</v>
      </c>
      <c r="AF5" s="130">
        <f t="shared" si="2"/>
        <v>15167.740089473698</v>
      </c>
      <c r="AG5" s="130">
        <f t="shared" si="2"/>
        <v>19679.960700000011</v>
      </c>
      <c r="AH5" s="130">
        <f t="shared" si="2"/>
        <v>24503.373900000006</v>
      </c>
      <c r="AI5" s="131"/>
      <c r="AJ5" s="131"/>
      <c r="AK5" s="131"/>
      <c r="AL5" s="131"/>
      <c r="AM5" s="131"/>
      <c r="AN5" s="131"/>
      <c r="AO5" s="131"/>
    </row>
    <row r="6" spans="1:183" s="132" customFormat="1" ht="15" customHeight="1">
      <c r="A6" s="128" t="s">
        <v>125</v>
      </c>
      <c r="B6" s="129"/>
      <c r="C6" s="130">
        <f>SUM(C7:C10)</f>
        <v>0</v>
      </c>
      <c r="D6" s="130">
        <f>SUM(D7:D10)</f>
        <v>0</v>
      </c>
      <c r="E6" s="130">
        <f t="shared" ref="E6:AH6" si="3">SUM(E7:E10)</f>
        <v>0</v>
      </c>
      <c r="F6" s="130">
        <f t="shared" si="3"/>
        <v>0</v>
      </c>
      <c r="G6" s="130">
        <f t="shared" si="3"/>
        <v>215.24189999999999</v>
      </c>
      <c r="H6" s="130">
        <f t="shared" si="3"/>
        <v>430.48379999999997</v>
      </c>
      <c r="I6" s="130">
        <f t="shared" si="3"/>
        <v>405.04965789473681</v>
      </c>
      <c r="J6" s="130">
        <f t="shared" si="3"/>
        <v>381.14848421052625</v>
      </c>
      <c r="K6" s="130">
        <f t="shared" si="3"/>
        <v>358.78027894736829</v>
      </c>
      <c r="L6" s="130">
        <f t="shared" si="3"/>
        <v>337.94504210526304</v>
      </c>
      <c r="M6" s="130">
        <f t="shared" si="3"/>
        <v>318.6427736842104</v>
      </c>
      <c r="N6" s="130">
        <f t="shared" si="3"/>
        <v>300.87347368421035</v>
      </c>
      <c r="O6" s="130">
        <f t="shared" si="3"/>
        <v>284.63714210526291</v>
      </c>
      <c r="P6" s="130">
        <f t="shared" si="3"/>
        <v>284.63714210526291</v>
      </c>
      <c r="Q6" s="130">
        <f t="shared" si="3"/>
        <v>338.81107894736817</v>
      </c>
      <c r="R6" s="130">
        <f t="shared" si="3"/>
        <v>394.51798421052615</v>
      </c>
      <c r="S6" s="130">
        <f t="shared" si="3"/>
        <v>451.75785789473673</v>
      </c>
      <c r="T6" s="130">
        <f t="shared" si="3"/>
        <v>510.53069999999991</v>
      </c>
      <c r="U6" s="130">
        <f t="shared" si="3"/>
        <v>570.83651052631569</v>
      </c>
      <c r="V6" s="130">
        <f t="shared" si="3"/>
        <v>632.67528947368419</v>
      </c>
      <c r="W6" s="130">
        <f t="shared" si="3"/>
        <v>696.04703684210529</v>
      </c>
      <c r="X6" s="130">
        <f t="shared" si="3"/>
        <v>760.95175263157898</v>
      </c>
      <c r="Y6" s="130">
        <f t="shared" si="3"/>
        <v>827.38943684210528</v>
      </c>
      <c r="Z6" s="130">
        <f t="shared" si="3"/>
        <v>895.3600894736843</v>
      </c>
      <c r="AA6" s="130">
        <f t="shared" si="3"/>
        <v>964.86371052631591</v>
      </c>
      <c r="AB6" s="130">
        <f t="shared" si="3"/>
        <v>1035.9003000000002</v>
      </c>
      <c r="AC6" s="130">
        <f t="shared" si="3"/>
        <v>1035.9003000000002</v>
      </c>
      <c r="AD6" s="130">
        <f t="shared" si="3"/>
        <v>2834.4385105263163</v>
      </c>
      <c r="AE6" s="130">
        <f t="shared" si="3"/>
        <v>5680.2517736842101</v>
      </c>
      <c r="AF6" s="130">
        <f t="shared" si="3"/>
        <v>9573.3400894736842</v>
      </c>
      <c r="AG6" s="130">
        <f t="shared" si="3"/>
        <v>15151.160699999999</v>
      </c>
      <c r="AH6" s="130">
        <f t="shared" si="3"/>
        <v>21040.173899999994</v>
      </c>
    </row>
    <row r="7" spans="1:183" ht="15" customHeight="1">
      <c r="A7" s="133" t="s">
        <v>126</v>
      </c>
      <c r="B7" s="129"/>
      <c r="C7" s="134"/>
      <c r="D7" s="134">
        <f>'1-Ф3'!D35</f>
        <v>0</v>
      </c>
      <c r="E7" s="134">
        <f>'1-Ф3'!E35</f>
        <v>0</v>
      </c>
      <c r="F7" s="134">
        <f>'1-Ф3'!F35</f>
        <v>0</v>
      </c>
      <c r="G7" s="134">
        <f>'1-Ф3'!G35</f>
        <v>215.24189999999999</v>
      </c>
      <c r="H7" s="134">
        <f>'1-Ф3'!H35</f>
        <v>430.48379999999997</v>
      </c>
      <c r="I7" s="134">
        <f>'1-Ф3'!I35</f>
        <v>405.04965789473681</v>
      </c>
      <c r="J7" s="134">
        <f>'1-Ф3'!J35</f>
        <v>381.14848421052625</v>
      </c>
      <c r="K7" s="134">
        <f>'1-Ф3'!K35</f>
        <v>358.78027894736829</v>
      </c>
      <c r="L7" s="134">
        <f>'1-Ф3'!L35</f>
        <v>337.94504210526304</v>
      </c>
      <c r="M7" s="134">
        <f>'1-Ф3'!M35</f>
        <v>318.6427736842104</v>
      </c>
      <c r="N7" s="134">
        <f>'1-Ф3'!N35</f>
        <v>300.87347368421035</v>
      </c>
      <c r="O7" s="134">
        <f>'1-Ф3'!O35</f>
        <v>284.63714210526291</v>
      </c>
      <c r="P7" s="134">
        <f>'1-Ф3'!P35</f>
        <v>284.63714210526291</v>
      </c>
      <c r="Q7" s="134">
        <f>'1-Ф3'!Q35</f>
        <v>338.81107894736817</v>
      </c>
      <c r="R7" s="134">
        <f>'1-Ф3'!R35</f>
        <v>394.51798421052615</v>
      </c>
      <c r="S7" s="134">
        <f>'1-Ф3'!S35</f>
        <v>451.75785789473673</v>
      </c>
      <c r="T7" s="134">
        <f>'1-Ф3'!T35</f>
        <v>510.53069999999991</v>
      </c>
      <c r="U7" s="134">
        <f>'1-Ф3'!U35</f>
        <v>570.83651052631569</v>
      </c>
      <c r="V7" s="134">
        <f>'1-Ф3'!V35</f>
        <v>632.67528947368419</v>
      </c>
      <c r="W7" s="134">
        <f>'1-Ф3'!W35</f>
        <v>696.04703684210529</v>
      </c>
      <c r="X7" s="134">
        <f>'1-Ф3'!X35</f>
        <v>760.95175263157898</v>
      </c>
      <c r="Y7" s="134">
        <f>'1-Ф3'!Y35</f>
        <v>827.38943684210528</v>
      </c>
      <c r="Z7" s="134">
        <f>'1-Ф3'!Z35</f>
        <v>895.3600894736843</v>
      </c>
      <c r="AA7" s="134">
        <f>'1-Ф3'!AA35</f>
        <v>964.86371052631591</v>
      </c>
      <c r="AB7" s="134">
        <f>'1-Ф3'!AB35</f>
        <v>1035.9003000000002</v>
      </c>
      <c r="AC7" s="134">
        <f>'1-Ф3'!AC35</f>
        <v>1035.9003000000002</v>
      </c>
      <c r="AD7" s="134">
        <f>'1-Ф3'!AD35</f>
        <v>2834.4385105263163</v>
      </c>
      <c r="AE7" s="134">
        <f>'1-Ф3'!AE35</f>
        <v>5680.2517736842101</v>
      </c>
      <c r="AF7" s="134">
        <f>'1-Ф3'!AF35</f>
        <v>9573.3400894736842</v>
      </c>
      <c r="AG7" s="134">
        <f>'1-Ф3'!AG35</f>
        <v>15151.160699999999</v>
      </c>
      <c r="AH7" s="134">
        <f>'1-Ф3'!AH35</f>
        <v>21040.173899999994</v>
      </c>
    </row>
    <row r="8" spans="1:183" ht="15" customHeight="1">
      <c r="A8" s="133" t="s">
        <v>127</v>
      </c>
      <c r="B8" s="129"/>
      <c r="C8" s="134"/>
      <c r="D8" s="134">
        <f>C8+'2-ф2'!D5-'1-Ф3'!D9/Исх!$C$18</f>
        <v>0</v>
      </c>
      <c r="E8" s="134">
        <f>D8+'2-ф2'!E5-'1-Ф3'!E9/Исх!$C$18</f>
        <v>0</v>
      </c>
      <c r="F8" s="134">
        <f>E8+'2-ф2'!F5-'1-Ф3'!F9/Исх!$C$18</f>
        <v>0</v>
      </c>
      <c r="G8" s="134">
        <f>F8+'2-ф2'!G5-'1-Ф3'!G9/Исх!$C$18</f>
        <v>0</v>
      </c>
      <c r="H8" s="134">
        <f>G8+'2-ф2'!H5-'1-Ф3'!H9/Исх!$C$18</f>
        <v>0</v>
      </c>
      <c r="I8" s="134">
        <f>H8+'2-ф2'!I5-'1-Ф3'!I9/Исх!$C$18</f>
        <v>0</v>
      </c>
      <c r="J8" s="134">
        <f>I8+'2-ф2'!J5-'1-Ф3'!J9/Исх!$C$18</f>
        <v>0</v>
      </c>
      <c r="K8" s="134">
        <f>J8+'2-ф2'!K5-'1-Ф3'!K9/Исх!$C$18</f>
        <v>0</v>
      </c>
      <c r="L8" s="134">
        <f>K8+'2-ф2'!L5-'1-Ф3'!L9/Исх!$C$18</f>
        <v>0</v>
      </c>
      <c r="M8" s="134">
        <f>L8+'2-ф2'!M5-'1-Ф3'!M9/Исх!$C$18</f>
        <v>0</v>
      </c>
      <c r="N8" s="134">
        <f>M8+'2-ф2'!N5-'1-Ф3'!N9/Исх!$C$18</f>
        <v>0</v>
      </c>
      <c r="O8" s="134">
        <f>N8+'2-ф2'!O5-'1-Ф3'!O9/Исх!$C$18</f>
        <v>0</v>
      </c>
      <c r="P8" s="134">
        <f>O8</f>
        <v>0</v>
      </c>
      <c r="Q8" s="134">
        <f>P8+'2-ф2'!Q5-'1-Ф3'!Q9/Исх!$C$18</f>
        <v>0</v>
      </c>
      <c r="R8" s="134">
        <f>Q8+'2-ф2'!R5-'1-Ф3'!R9/Исх!$C$18</f>
        <v>0</v>
      </c>
      <c r="S8" s="134">
        <f>R8+'2-ф2'!S5-'1-Ф3'!S9/Исх!$C$18</f>
        <v>0</v>
      </c>
      <c r="T8" s="134">
        <f>S8+'2-ф2'!T5-'1-Ф3'!T9/Исх!$C$18</f>
        <v>0</v>
      </c>
      <c r="U8" s="134">
        <f>T8+'2-ф2'!U5-'1-Ф3'!U9/Исх!$C$18</f>
        <v>0</v>
      </c>
      <c r="V8" s="134">
        <f>U8+'2-ф2'!V5-'1-Ф3'!V9/Исх!$C$18</f>
        <v>0</v>
      </c>
      <c r="W8" s="134">
        <f>V8+'2-ф2'!W5-'1-Ф3'!W9/Исх!$C$18</f>
        <v>0</v>
      </c>
      <c r="X8" s="134">
        <f>W8+'2-ф2'!X5-'1-Ф3'!X9/Исх!$C$18</f>
        <v>0</v>
      </c>
      <c r="Y8" s="134">
        <f>X8+'2-ф2'!Y5-'1-Ф3'!Y9/Исх!$C$18</f>
        <v>0</v>
      </c>
      <c r="Z8" s="134">
        <f>Y8+'2-ф2'!Z5-'1-Ф3'!Z9/Исх!$C$18</f>
        <v>0</v>
      </c>
      <c r="AA8" s="134">
        <f>Z8+'2-ф2'!AA5-'1-Ф3'!AA9/Исх!$C$18</f>
        <v>0</v>
      </c>
      <c r="AB8" s="134">
        <f>AA8+'2-ф2'!AB5-'1-Ф3'!AB9/Исх!$C$18</f>
        <v>0</v>
      </c>
      <c r="AC8" s="134">
        <f>AB8</f>
        <v>0</v>
      </c>
      <c r="AD8" s="134">
        <f>AC8+'2-ф2'!AD5-'1-Ф3'!AD9/Исх!$C$18</f>
        <v>0</v>
      </c>
      <c r="AE8" s="134">
        <f>AD8+'2-ф2'!AE5-'1-Ф3'!AE9/Исх!$C$18</f>
        <v>0</v>
      </c>
      <c r="AF8" s="134">
        <f>AE8+'2-ф2'!AF5-'1-Ф3'!AF9/Исх!$C$18</f>
        <v>0</v>
      </c>
      <c r="AG8" s="134">
        <f>AF8+'2-ф2'!AG5-'1-Ф3'!AG9/Исх!$C$18</f>
        <v>0</v>
      </c>
      <c r="AH8" s="134">
        <f>AG8+'2-ф2'!AH5-'1-Ф3'!AH9/Исх!$C$18</f>
        <v>0</v>
      </c>
    </row>
    <row r="9" spans="1:183">
      <c r="A9" s="133" t="s">
        <v>128</v>
      </c>
      <c r="B9" s="129"/>
      <c r="C9" s="134"/>
      <c r="D9" s="134">
        <f>C9+'1-Ф3'!D13/Исх!$C$18-'2-ф2'!D9</f>
        <v>0</v>
      </c>
      <c r="E9" s="134">
        <f>D9+'1-Ф3'!E13/Исх!$C$18-'2-ф2'!E9</f>
        <v>0</v>
      </c>
      <c r="F9" s="134">
        <f>E9+'1-Ф3'!F13/Исх!$C$18-'2-ф2'!F9</f>
        <v>0</v>
      </c>
      <c r="G9" s="134">
        <f>F9+'1-Ф3'!G13/Исх!$C$18-'2-ф2'!G9</f>
        <v>0</v>
      </c>
      <c r="H9" s="134">
        <f>G9+'1-Ф3'!H13/Исх!$C$18-'2-ф2'!H9</f>
        <v>0</v>
      </c>
      <c r="I9" s="134">
        <f>H9+'1-Ф3'!I13/Исх!$C$18-'2-ф2'!I9</f>
        <v>0</v>
      </c>
      <c r="J9" s="134">
        <f>I9+'1-Ф3'!J13/Исх!$C$18-'2-ф2'!J9</f>
        <v>0</v>
      </c>
      <c r="K9" s="134">
        <f>J9+'1-Ф3'!K13/Исх!$C$18-'2-ф2'!K9</f>
        <v>0</v>
      </c>
      <c r="L9" s="134">
        <f>K9+'1-Ф3'!L13/Исх!$C$18-'2-ф2'!L9</f>
        <v>0</v>
      </c>
      <c r="M9" s="134">
        <f>L9+'1-Ф3'!M13/Исх!$C$18-'2-ф2'!M9</f>
        <v>0</v>
      </c>
      <c r="N9" s="134">
        <f>M9+'1-Ф3'!N13/Исх!$C$18-'2-ф2'!N9</f>
        <v>0</v>
      </c>
      <c r="O9" s="134">
        <f>N9+'1-Ф3'!O13/Исх!$C$18-'2-ф2'!O9</f>
        <v>0</v>
      </c>
      <c r="P9" s="134">
        <f>O9</f>
        <v>0</v>
      </c>
      <c r="Q9" s="134">
        <f>P9+'1-Ф3'!Q13/Исх!$C$18-'2-ф2'!Q9</f>
        <v>0</v>
      </c>
      <c r="R9" s="134">
        <f>Q9+'1-Ф3'!R13/Исх!$C$18-'2-ф2'!R9</f>
        <v>0</v>
      </c>
      <c r="S9" s="134">
        <f>R9+'1-Ф3'!S13/Исх!$C$18-'2-ф2'!S9</f>
        <v>0</v>
      </c>
      <c r="T9" s="134">
        <f>S9+'1-Ф3'!T13/Исх!$C$18-'2-ф2'!T9</f>
        <v>0</v>
      </c>
      <c r="U9" s="134">
        <f>T9+'1-Ф3'!U13/Исх!$C$18-'2-ф2'!U9</f>
        <v>0</v>
      </c>
      <c r="V9" s="134">
        <f>U9+'1-Ф3'!V13/Исх!$C$18-'2-ф2'!V9</f>
        <v>0</v>
      </c>
      <c r="W9" s="134">
        <f>V9+'1-Ф3'!W13/Исх!$C$18-'2-ф2'!W9</f>
        <v>0</v>
      </c>
      <c r="X9" s="134">
        <f>W9+'1-Ф3'!X13/Исх!$C$18-'2-ф2'!X9</f>
        <v>0</v>
      </c>
      <c r="Y9" s="134">
        <f>X9+'1-Ф3'!Y13/Исх!$C$18-'2-ф2'!Y9</f>
        <v>0</v>
      </c>
      <c r="Z9" s="134">
        <f>Y9+'1-Ф3'!Z13/Исх!$C$18-'2-ф2'!Z9</f>
        <v>0</v>
      </c>
      <c r="AA9" s="134">
        <f>Z9+'1-Ф3'!AA13/Исх!$C$18-'2-ф2'!AA9</f>
        <v>0</v>
      </c>
      <c r="AB9" s="134">
        <f>AA9+'1-Ф3'!AB13/Исх!$C$18-'2-ф2'!AB9</f>
        <v>0</v>
      </c>
      <c r="AC9" s="134">
        <f>AB9</f>
        <v>0</v>
      </c>
      <c r="AD9" s="134">
        <f>AC9+'1-Ф3'!AD13/Исх!$C$18-'2-ф2'!AD9</f>
        <v>0</v>
      </c>
      <c r="AE9" s="134">
        <f>AD9+'1-Ф3'!AE13/Исх!$C$18-'2-ф2'!AE9</f>
        <v>0</v>
      </c>
      <c r="AF9" s="134">
        <f>AE9+'1-Ф3'!AF13/Исх!$C$18-'2-ф2'!AF9</f>
        <v>0</v>
      </c>
      <c r="AG9" s="134">
        <f>AF9+'1-Ф3'!AG13/Исх!$C$18-'2-ф2'!AG9</f>
        <v>0</v>
      </c>
      <c r="AH9" s="134">
        <f>AG9+'1-Ф3'!AH13/Исх!$C$18-'2-ф2'!AH9</f>
        <v>0</v>
      </c>
    </row>
    <row r="10" spans="1:183">
      <c r="A10" s="133" t="s">
        <v>129</v>
      </c>
      <c r="B10" s="129"/>
      <c r="C10" s="134"/>
      <c r="D10" s="134"/>
      <c r="E10" s="134"/>
      <c r="F10" s="134">
        <v>0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>
        <f>O10</f>
        <v>0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>
        <f>AB10</f>
        <v>0</v>
      </c>
      <c r="AD10" s="134"/>
      <c r="AE10" s="134"/>
      <c r="AF10" s="134"/>
      <c r="AG10" s="134"/>
      <c r="AH10" s="134"/>
    </row>
    <row r="11" spans="1:183" ht="15" customHeight="1">
      <c r="A11" s="128" t="s">
        <v>130</v>
      </c>
      <c r="B11" s="129"/>
      <c r="C11" s="130">
        <f t="shared" ref="C11:AH11" si="4">SUM(C12:C14)</f>
        <v>0</v>
      </c>
      <c r="D11" s="130">
        <f t="shared" si="4"/>
        <v>0</v>
      </c>
      <c r="E11" s="130">
        <f t="shared" si="4"/>
        <v>5328</v>
      </c>
      <c r="F11" s="130">
        <f t="shared" si="4"/>
        <v>10656</v>
      </c>
      <c r="G11" s="130">
        <f t="shared" si="4"/>
        <v>10567.2</v>
      </c>
      <c r="H11" s="130">
        <f t="shared" si="4"/>
        <v>10478.400000000001</v>
      </c>
      <c r="I11" s="130">
        <f t="shared" si="4"/>
        <v>10389.600000000002</v>
      </c>
      <c r="J11" s="130">
        <f t="shared" si="4"/>
        <v>10300.800000000003</v>
      </c>
      <c r="K11" s="130">
        <f t="shared" si="4"/>
        <v>10212.000000000004</v>
      </c>
      <c r="L11" s="130">
        <f t="shared" si="4"/>
        <v>10123.200000000004</v>
      </c>
      <c r="M11" s="130">
        <f t="shared" si="4"/>
        <v>10034.400000000005</v>
      </c>
      <c r="N11" s="130">
        <f t="shared" si="4"/>
        <v>9945.6000000000058</v>
      </c>
      <c r="O11" s="130">
        <f t="shared" si="4"/>
        <v>9856.8000000000065</v>
      </c>
      <c r="P11" s="130">
        <f t="shared" si="4"/>
        <v>9856.8000000000065</v>
      </c>
      <c r="Q11" s="130">
        <f t="shared" si="4"/>
        <v>9768.0000000000073</v>
      </c>
      <c r="R11" s="130">
        <f t="shared" si="4"/>
        <v>9679.200000000008</v>
      </c>
      <c r="S11" s="130">
        <f t="shared" si="4"/>
        <v>9590.4000000000087</v>
      </c>
      <c r="T11" s="130">
        <f t="shared" si="4"/>
        <v>9501.6000000000095</v>
      </c>
      <c r="U11" s="130">
        <f t="shared" si="4"/>
        <v>9412.8000000000102</v>
      </c>
      <c r="V11" s="130">
        <f t="shared" si="4"/>
        <v>9324.0000000000109</v>
      </c>
      <c r="W11" s="130">
        <f t="shared" si="4"/>
        <v>9235.2000000000116</v>
      </c>
      <c r="X11" s="130">
        <f t="shared" si="4"/>
        <v>9146.4000000000124</v>
      </c>
      <c r="Y11" s="130">
        <f t="shared" si="4"/>
        <v>9057.6000000000131</v>
      </c>
      <c r="Z11" s="130">
        <f t="shared" si="4"/>
        <v>8968.8000000000138</v>
      </c>
      <c r="AA11" s="130">
        <f t="shared" si="4"/>
        <v>8880.0000000000146</v>
      </c>
      <c r="AB11" s="130">
        <f t="shared" si="4"/>
        <v>8791.2000000000153</v>
      </c>
      <c r="AC11" s="130">
        <f t="shared" si="4"/>
        <v>8791.2000000000153</v>
      </c>
      <c r="AD11" s="130">
        <f t="shared" si="4"/>
        <v>7725.6000000000149</v>
      </c>
      <c r="AE11" s="130">
        <f t="shared" si="4"/>
        <v>6660.0000000000146</v>
      </c>
      <c r="AF11" s="130">
        <f t="shared" si="4"/>
        <v>5594.4000000000142</v>
      </c>
      <c r="AG11" s="130">
        <f t="shared" si="4"/>
        <v>4528.8000000000138</v>
      </c>
      <c r="AH11" s="130">
        <f t="shared" si="4"/>
        <v>3463.2000000000135</v>
      </c>
    </row>
    <row r="12" spans="1:183">
      <c r="A12" s="133" t="s">
        <v>131</v>
      </c>
      <c r="B12" s="135"/>
      <c r="C12" s="134"/>
      <c r="D12" s="134">
        <f>C12+'1-Ф3'!D21/Исх!$C$18-'2-ф2'!D13</f>
        <v>0</v>
      </c>
      <c r="E12" s="134">
        <f>D12+'1-Ф3'!E21/Исх!$C$18-'2-ф2'!E13</f>
        <v>5328</v>
      </c>
      <c r="F12" s="134">
        <f>E12+'1-Ф3'!F21/Исх!$C$18-'2-ф2'!F13</f>
        <v>10656</v>
      </c>
      <c r="G12" s="134">
        <f>F12+'1-Ф3'!G21/Исх!$C$18-'2-ф2'!G13</f>
        <v>10567.2</v>
      </c>
      <c r="H12" s="134">
        <f>G12+'1-Ф3'!H21/Исх!$C$18-'2-ф2'!H13</f>
        <v>10478.400000000001</v>
      </c>
      <c r="I12" s="134">
        <f>H12+'1-Ф3'!I21/Исх!$C$18-'2-ф2'!I13</f>
        <v>10389.600000000002</v>
      </c>
      <c r="J12" s="134">
        <f>I12+'1-Ф3'!J21/Исх!$C$18-'2-ф2'!J13</f>
        <v>10300.800000000003</v>
      </c>
      <c r="K12" s="134">
        <f>J12+'1-Ф3'!K21/Исх!$C$18-'2-ф2'!K13</f>
        <v>10212.000000000004</v>
      </c>
      <c r="L12" s="134">
        <f>K12+'1-Ф3'!L21/Исх!$C$18-'2-ф2'!L13</f>
        <v>10123.200000000004</v>
      </c>
      <c r="M12" s="134">
        <f>L12+'1-Ф3'!M21/Исх!$C$18-'2-ф2'!M13</f>
        <v>10034.400000000005</v>
      </c>
      <c r="N12" s="134">
        <f>M12+'1-Ф3'!N21/Исх!$C$18-'2-ф2'!N13</f>
        <v>9945.6000000000058</v>
      </c>
      <c r="O12" s="134">
        <f>N12+'1-Ф3'!O21/Исх!$C$18-'2-ф2'!O13</f>
        <v>9856.8000000000065</v>
      </c>
      <c r="P12" s="134">
        <f>O12</f>
        <v>9856.8000000000065</v>
      </c>
      <c r="Q12" s="134">
        <f>P12+'1-Ф3'!Q21/Исх!$C$18-'2-ф2'!Q13</f>
        <v>9768.0000000000073</v>
      </c>
      <c r="R12" s="134">
        <f>Q12+'1-Ф3'!R21/Исх!$C$18-'2-ф2'!R13</f>
        <v>9679.200000000008</v>
      </c>
      <c r="S12" s="134">
        <f>R12+'1-Ф3'!S21/Исх!$C$18-'2-ф2'!S13</f>
        <v>9590.4000000000087</v>
      </c>
      <c r="T12" s="134">
        <f>S12+'1-Ф3'!T21/Исх!$C$18-'2-ф2'!T13</f>
        <v>9501.6000000000095</v>
      </c>
      <c r="U12" s="134">
        <f>T12+'1-Ф3'!U21/Исх!$C$18-'2-ф2'!U13</f>
        <v>9412.8000000000102</v>
      </c>
      <c r="V12" s="134">
        <f>U12+'1-Ф3'!V21/Исх!$C$18-'2-ф2'!V13</f>
        <v>9324.0000000000109</v>
      </c>
      <c r="W12" s="134">
        <f>V12+'1-Ф3'!W21/Исх!$C$18-'2-ф2'!W13</f>
        <v>9235.2000000000116</v>
      </c>
      <c r="X12" s="134">
        <f>W12+'1-Ф3'!X21/Исх!$C$18-'2-ф2'!X13</f>
        <v>9146.4000000000124</v>
      </c>
      <c r="Y12" s="134">
        <f>X12+'1-Ф3'!Y21/Исх!$C$18-'2-ф2'!Y13</f>
        <v>9057.6000000000131</v>
      </c>
      <c r="Z12" s="134">
        <f>Y12+'1-Ф3'!Z21/Исх!$C$18-'2-ф2'!Z13</f>
        <v>8968.8000000000138</v>
      </c>
      <c r="AA12" s="134">
        <f>Z12+'1-Ф3'!AA21/Исх!$C$18-'2-ф2'!AA13</f>
        <v>8880.0000000000146</v>
      </c>
      <c r="AB12" s="134">
        <f>AA12+'1-Ф3'!AB21/Исх!$C$18-'2-ф2'!AB13</f>
        <v>8791.2000000000153</v>
      </c>
      <c r="AC12" s="134">
        <f>AB12</f>
        <v>8791.2000000000153</v>
      </c>
      <c r="AD12" s="134">
        <f>AC12+'1-Ф3'!AD21/Исх!$C$18-'2-ф2'!AD13</f>
        <v>7725.6000000000149</v>
      </c>
      <c r="AE12" s="134">
        <f>AD12+'1-Ф3'!AE21/Исх!$C$18-'2-ф2'!AE13</f>
        <v>6660.0000000000146</v>
      </c>
      <c r="AF12" s="134">
        <f>AE12+'1-Ф3'!AF21/Исх!$C$18-'2-ф2'!AF13</f>
        <v>5594.4000000000142</v>
      </c>
      <c r="AG12" s="134">
        <f>AF12+'1-Ф3'!AG21/Исх!$C$18-'2-ф2'!AG13</f>
        <v>4528.8000000000138</v>
      </c>
      <c r="AH12" s="134">
        <f>AG12+'1-Ф3'!AH21/Исх!$C$18-'2-ф2'!AH13</f>
        <v>3463.2000000000135</v>
      </c>
    </row>
    <row r="13" spans="1:183" ht="15" hidden="1" customHeight="1">
      <c r="A13" s="133" t="s">
        <v>132</v>
      </c>
      <c r="B13" s="135"/>
      <c r="C13" s="134"/>
      <c r="D13" s="134">
        <f>C13</f>
        <v>0</v>
      </c>
      <c r="E13" s="134">
        <f>D13</f>
        <v>0</v>
      </c>
      <c r="F13" s="134">
        <f t="shared" ref="F13:AH14" si="5">E13</f>
        <v>0</v>
      </c>
      <c r="G13" s="134">
        <f t="shared" si="5"/>
        <v>0</v>
      </c>
      <c r="H13" s="134">
        <f t="shared" si="5"/>
        <v>0</v>
      </c>
      <c r="I13" s="134">
        <f t="shared" si="5"/>
        <v>0</v>
      </c>
      <c r="J13" s="134">
        <f t="shared" si="5"/>
        <v>0</v>
      </c>
      <c r="K13" s="134">
        <f t="shared" si="5"/>
        <v>0</v>
      </c>
      <c r="L13" s="134">
        <f t="shared" si="5"/>
        <v>0</v>
      </c>
      <c r="M13" s="134">
        <f t="shared" si="5"/>
        <v>0</v>
      </c>
      <c r="N13" s="134">
        <f t="shared" si="5"/>
        <v>0</v>
      </c>
      <c r="O13" s="134">
        <f t="shared" si="5"/>
        <v>0</v>
      </c>
      <c r="P13" s="134">
        <f t="shared" si="5"/>
        <v>0</v>
      </c>
      <c r="Q13" s="134">
        <f t="shared" si="5"/>
        <v>0</v>
      </c>
      <c r="R13" s="134">
        <f t="shared" si="5"/>
        <v>0</v>
      </c>
      <c r="S13" s="134">
        <f t="shared" si="5"/>
        <v>0</v>
      </c>
      <c r="T13" s="134">
        <f t="shared" si="5"/>
        <v>0</v>
      </c>
      <c r="U13" s="134">
        <f t="shared" si="5"/>
        <v>0</v>
      </c>
      <c r="V13" s="134">
        <f t="shared" si="5"/>
        <v>0</v>
      </c>
      <c r="W13" s="134">
        <f t="shared" si="5"/>
        <v>0</v>
      </c>
      <c r="X13" s="134">
        <f t="shared" si="5"/>
        <v>0</v>
      </c>
      <c r="Y13" s="134">
        <f t="shared" si="5"/>
        <v>0</v>
      </c>
      <c r="Z13" s="134">
        <f t="shared" si="5"/>
        <v>0</v>
      </c>
      <c r="AA13" s="134">
        <f t="shared" si="5"/>
        <v>0</v>
      </c>
      <c r="AB13" s="134">
        <f t="shared" si="5"/>
        <v>0</v>
      </c>
      <c r="AC13" s="134">
        <f t="shared" si="5"/>
        <v>0</v>
      </c>
      <c r="AD13" s="134">
        <f t="shared" si="5"/>
        <v>0</v>
      </c>
      <c r="AE13" s="134">
        <f t="shared" si="5"/>
        <v>0</v>
      </c>
      <c r="AF13" s="134">
        <f t="shared" si="5"/>
        <v>0</v>
      </c>
      <c r="AG13" s="134">
        <f t="shared" si="5"/>
        <v>0</v>
      </c>
      <c r="AH13" s="134">
        <f t="shared" si="5"/>
        <v>0</v>
      </c>
    </row>
    <row r="14" spans="1:183">
      <c r="A14" s="133" t="s">
        <v>133</v>
      </c>
      <c r="B14" s="135"/>
      <c r="C14" s="134"/>
      <c r="D14" s="134">
        <f>IF('2-ф2'!D30&lt;0,-'2-ф2'!D30,0)</f>
        <v>0</v>
      </c>
      <c r="E14" s="134">
        <f>IF('2-ф2'!E30&lt;0,-'2-ф2'!E30,0)</f>
        <v>0</v>
      </c>
      <c r="F14" s="134">
        <f>IF('2-ф2'!F30&lt;0,-'2-ф2'!F30,0)</f>
        <v>0</v>
      </c>
      <c r="G14" s="134">
        <f>IF('2-ф2'!G30&lt;0,-'2-ф2'!G30,0)</f>
        <v>0</v>
      </c>
      <c r="H14" s="134">
        <f>IF('2-ф2'!H30&lt;0,-'2-ф2'!H30,0)</f>
        <v>0</v>
      </c>
      <c r="I14" s="134">
        <f>IF('2-ф2'!I30&lt;0,-'2-ф2'!I30,0)</f>
        <v>0</v>
      </c>
      <c r="J14" s="134">
        <f>IF('2-ф2'!J30&lt;0,-'2-ф2'!J30,0)</f>
        <v>0</v>
      </c>
      <c r="K14" s="134">
        <f>IF('2-ф2'!K30&lt;0,-'2-ф2'!K30,0)</f>
        <v>0</v>
      </c>
      <c r="L14" s="134">
        <f>IF('2-ф2'!L30&lt;0,-'2-ф2'!L30,0)</f>
        <v>0</v>
      </c>
      <c r="M14" s="134">
        <f>IF('2-ф2'!M30&lt;0,-'2-ф2'!M30,0)</f>
        <v>0</v>
      </c>
      <c r="N14" s="134">
        <f>IF('2-ф2'!N30&lt;0,-'2-ф2'!N30,0)</f>
        <v>0</v>
      </c>
      <c r="O14" s="134">
        <f>IF('2-ф2'!O30&lt;0,-'2-ф2'!O30,0)</f>
        <v>0</v>
      </c>
      <c r="P14" s="134">
        <f t="shared" si="5"/>
        <v>0</v>
      </c>
      <c r="Q14" s="134">
        <f>IF('2-ф2'!Q30&lt;0,-'2-ф2'!Q30,0)</f>
        <v>0</v>
      </c>
      <c r="R14" s="134">
        <f>IF('2-ф2'!R30&lt;0,-'2-ф2'!R30,0)</f>
        <v>0</v>
      </c>
      <c r="S14" s="134">
        <f>IF('2-ф2'!S30&lt;0,-'2-ф2'!S30,0)</f>
        <v>0</v>
      </c>
      <c r="T14" s="134">
        <f>IF('2-ф2'!T30&lt;0,-'2-ф2'!T30,0)</f>
        <v>0</v>
      </c>
      <c r="U14" s="134">
        <f>IF('2-ф2'!U30&lt;0,-'2-ф2'!U30,0)</f>
        <v>0</v>
      </c>
      <c r="V14" s="134">
        <f>IF('2-ф2'!V30&lt;0,-'2-ф2'!V30,0)</f>
        <v>0</v>
      </c>
      <c r="W14" s="134">
        <f>IF('2-ф2'!W30&lt;0,-'2-ф2'!W30,0)</f>
        <v>0</v>
      </c>
      <c r="X14" s="134">
        <f>IF('2-ф2'!X30&lt;0,-'2-ф2'!X30,0)</f>
        <v>0</v>
      </c>
      <c r="Y14" s="134">
        <f>IF('2-ф2'!Y30&lt;0,-'2-ф2'!Y30,0)</f>
        <v>0</v>
      </c>
      <c r="Z14" s="134">
        <f>IF('2-ф2'!Z30&lt;0,-'2-ф2'!Z30,0)</f>
        <v>0</v>
      </c>
      <c r="AA14" s="134">
        <f>IF('2-ф2'!AA30&lt;0,-'2-ф2'!AA30,0)</f>
        <v>0</v>
      </c>
      <c r="AB14" s="134">
        <f>IF('2-ф2'!AB30&lt;0,-'2-ф2'!AB30,0)</f>
        <v>0</v>
      </c>
      <c r="AC14" s="134">
        <f t="shared" si="5"/>
        <v>0</v>
      </c>
      <c r="AD14" s="134">
        <f>IF('2-ф2'!AD30&lt;0,-'2-ф2'!AD30,0)</f>
        <v>0</v>
      </c>
      <c r="AE14" s="134">
        <f>IF('2-ф2'!AE30&lt;0,-'2-ф2'!AE30,0)</f>
        <v>0</v>
      </c>
      <c r="AF14" s="134">
        <f>IF('2-ф2'!AF30&lt;0,-'2-ф2'!AF30,0)</f>
        <v>0</v>
      </c>
      <c r="AG14" s="134">
        <f>IF('2-ф2'!AG30&lt;0,-'2-ф2'!AG30,0)</f>
        <v>0</v>
      </c>
      <c r="AH14" s="134">
        <f>IF('2-ф2'!AH30&lt;0,-'2-ф2'!AH30,0)</f>
        <v>0</v>
      </c>
    </row>
    <row r="15" spans="1:183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</row>
    <row r="16" spans="1:183" s="132" customFormat="1" ht="15" customHeight="1">
      <c r="A16" s="128" t="s">
        <v>134</v>
      </c>
      <c r="B16" s="129"/>
      <c r="C16" s="129">
        <f t="shared" ref="C16:AH16" si="6">C21+C24+C17</f>
        <v>0</v>
      </c>
      <c r="D16" s="129">
        <f t="shared" si="6"/>
        <v>0</v>
      </c>
      <c r="E16" s="129">
        <f t="shared" si="6"/>
        <v>5328</v>
      </c>
      <c r="F16" s="129">
        <f t="shared" si="6"/>
        <v>10656</v>
      </c>
      <c r="G16" s="129">
        <f t="shared" si="6"/>
        <v>10782.441899999998</v>
      </c>
      <c r="H16" s="129">
        <f t="shared" si="6"/>
        <v>10908.8838</v>
      </c>
      <c r="I16" s="129">
        <f t="shared" si="6"/>
        <v>10794.649657894737</v>
      </c>
      <c r="J16" s="129">
        <f t="shared" si="6"/>
        <v>10681.948484210527</v>
      </c>
      <c r="K16" s="129">
        <f t="shared" si="6"/>
        <v>10570.78027894737</v>
      </c>
      <c r="L16" s="129">
        <f t="shared" si="6"/>
        <v>10461.145042105265</v>
      </c>
      <c r="M16" s="129">
        <f t="shared" si="6"/>
        <v>10353.042773684212</v>
      </c>
      <c r="N16" s="129">
        <f t="shared" si="6"/>
        <v>10246.473473684213</v>
      </c>
      <c r="O16" s="129">
        <f t="shared" si="6"/>
        <v>10141.437142105266</v>
      </c>
      <c r="P16" s="129">
        <f t="shared" si="6"/>
        <v>10141.437142105266</v>
      </c>
      <c r="Q16" s="129">
        <f t="shared" si="6"/>
        <v>10106.811078947372</v>
      </c>
      <c r="R16" s="129">
        <f t="shared" si="6"/>
        <v>10073.717984210529</v>
      </c>
      <c r="S16" s="129">
        <f t="shared" si="6"/>
        <v>10042.157857894741</v>
      </c>
      <c r="T16" s="129">
        <f t="shared" si="6"/>
        <v>10012.130700000003</v>
      </c>
      <c r="U16" s="129">
        <f t="shared" si="6"/>
        <v>9983.6365105263194</v>
      </c>
      <c r="V16" s="129">
        <f t="shared" si="6"/>
        <v>9956.6752894736892</v>
      </c>
      <c r="W16" s="129">
        <f t="shared" si="6"/>
        <v>9931.2470368421091</v>
      </c>
      <c r="X16" s="129">
        <f t="shared" si="6"/>
        <v>9907.3517526315845</v>
      </c>
      <c r="Y16" s="129">
        <f t="shared" si="6"/>
        <v>9884.9894368421119</v>
      </c>
      <c r="Z16" s="129">
        <f t="shared" si="6"/>
        <v>9864.1600894736912</v>
      </c>
      <c r="AA16" s="129">
        <f t="shared" si="6"/>
        <v>9844.8637105263224</v>
      </c>
      <c r="AB16" s="129">
        <f t="shared" si="6"/>
        <v>9827.1003000000055</v>
      </c>
      <c r="AC16" s="129">
        <f t="shared" si="6"/>
        <v>9827.1003000000055</v>
      </c>
      <c r="AD16" s="129">
        <f t="shared" si="6"/>
        <v>10560.038510526325</v>
      </c>
      <c r="AE16" s="129">
        <f t="shared" si="6"/>
        <v>12340.251773684216</v>
      </c>
      <c r="AF16" s="129">
        <f t="shared" si="6"/>
        <v>15167.740089473691</v>
      </c>
      <c r="AG16" s="129">
        <f t="shared" si="6"/>
        <v>19679.960700000007</v>
      </c>
      <c r="AH16" s="129">
        <f t="shared" si="6"/>
        <v>24503.373900000006</v>
      </c>
      <c r="AI16" s="131"/>
      <c r="AJ16" s="131"/>
      <c r="AK16" s="131"/>
      <c r="AL16" s="131"/>
      <c r="AM16" s="131"/>
      <c r="AN16" s="131"/>
      <c r="AO16" s="131"/>
    </row>
    <row r="17" spans="1:35" ht="15" customHeight="1">
      <c r="A17" s="128" t="s">
        <v>135</v>
      </c>
      <c r="B17" s="129"/>
      <c r="C17" s="129">
        <f t="shared" ref="C17:AH17" si="7">SUM(C18:C20)</f>
        <v>0</v>
      </c>
      <c r="D17" s="129">
        <f t="shared" si="7"/>
        <v>0</v>
      </c>
      <c r="E17" s="129">
        <f t="shared" si="7"/>
        <v>0</v>
      </c>
      <c r="F17" s="129">
        <f t="shared" si="7"/>
        <v>42.623999999999995</v>
      </c>
      <c r="G17" s="129">
        <f t="shared" si="7"/>
        <v>127.87199999999999</v>
      </c>
      <c r="H17" s="129">
        <f t="shared" si="7"/>
        <v>0</v>
      </c>
      <c r="I17" s="129">
        <f t="shared" si="7"/>
        <v>0</v>
      </c>
      <c r="J17" s="129">
        <f t="shared" si="7"/>
        <v>0</v>
      </c>
      <c r="K17" s="129">
        <f t="shared" si="7"/>
        <v>0</v>
      </c>
      <c r="L17" s="129">
        <f t="shared" si="7"/>
        <v>0</v>
      </c>
      <c r="M17" s="129">
        <f t="shared" si="7"/>
        <v>0</v>
      </c>
      <c r="N17" s="129">
        <f t="shared" si="7"/>
        <v>0</v>
      </c>
      <c r="O17" s="129">
        <f t="shared" si="7"/>
        <v>0</v>
      </c>
      <c r="P17" s="129">
        <f t="shared" si="7"/>
        <v>0</v>
      </c>
      <c r="Q17" s="129">
        <f t="shared" si="7"/>
        <v>0</v>
      </c>
      <c r="R17" s="129">
        <f t="shared" si="7"/>
        <v>0</v>
      </c>
      <c r="S17" s="129">
        <f t="shared" si="7"/>
        <v>0</v>
      </c>
      <c r="T17" s="129">
        <f t="shared" si="7"/>
        <v>0</v>
      </c>
      <c r="U17" s="129">
        <f t="shared" si="7"/>
        <v>0</v>
      </c>
      <c r="V17" s="129">
        <f t="shared" si="7"/>
        <v>0</v>
      </c>
      <c r="W17" s="129">
        <f t="shared" si="7"/>
        <v>0</v>
      </c>
      <c r="X17" s="129">
        <f t="shared" si="7"/>
        <v>0</v>
      </c>
      <c r="Y17" s="129">
        <f t="shared" si="7"/>
        <v>0</v>
      </c>
      <c r="Z17" s="129">
        <f t="shared" si="7"/>
        <v>0</v>
      </c>
      <c r="AA17" s="129">
        <f t="shared" si="7"/>
        <v>0</v>
      </c>
      <c r="AB17" s="129">
        <f t="shared" si="7"/>
        <v>0</v>
      </c>
      <c r="AC17" s="129">
        <f t="shared" si="7"/>
        <v>0</v>
      </c>
      <c r="AD17" s="129">
        <f t="shared" si="7"/>
        <v>0</v>
      </c>
      <c r="AE17" s="129">
        <f t="shared" si="7"/>
        <v>0</v>
      </c>
      <c r="AF17" s="129">
        <f t="shared" si="7"/>
        <v>0</v>
      </c>
      <c r="AG17" s="129">
        <f t="shared" si="7"/>
        <v>0</v>
      </c>
      <c r="AH17" s="129">
        <f t="shared" si="7"/>
        <v>0</v>
      </c>
    </row>
    <row r="18" spans="1:35" hidden="1">
      <c r="A18" s="133" t="s">
        <v>136</v>
      </c>
      <c r="B18" s="135"/>
      <c r="C18" s="135"/>
      <c r="D18" s="135">
        <f>C18</f>
        <v>0</v>
      </c>
      <c r="E18" s="135">
        <f>D18</f>
        <v>0</v>
      </c>
      <c r="F18" s="135">
        <f t="shared" ref="F18:O18" si="8">E18</f>
        <v>0</v>
      </c>
      <c r="G18" s="135">
        <f t="shared" si="8"/>
        <v>0</v>
      </c>
      <c r="H18" s="135">
        <f t="shared" si="8"/>
        <v>0</v>
      </c>
      <c r="I18" s="135">
        <f t="shared" si="8"/>
        <v>0</v>
      </c>
      <c r="J18" s="135">
        <f t="shared" si="8"/>
        <v>0</v>
      </c>
      <c r="K18" s="135">
        <f t="shared" si="8"/>
        <v>0</v>
      </c>
      <c r="L18" s="135">
        <f t="shared" si="8"/>
        <v>0</v>
      </c>
      <c r="M18" s="135">
        <f t="shared" si="8"/>
        <v>0</v>
      </c>
      <c r="N18" s="135">
        <f t="shared" si="8"/>
        <v>0</v>
      </c>
      <c r="O18" s="135">
        <f t="shared" si="8"/>
        <v>0</v>
      </c>
      <c r="P18" s="135">
        <f>O18</f>
        <v>0</v>
      </c>
      <c r="Q18" s="135">
        <f>P18</f>
        <v>0</v>
      </c>
      <c r="R18" s="135">
        <f>Q18</f>
        <v>0</v>
      </c>
      <c r="S18" s="135">
        <f>R18</f>
        <v>0</v>
      </c>
      <c r="T18" s="135">
        <f>S18</f>
        <v>0</v>
      </c>
      <c r="U18" s="135">
        <f t="shared" ref="U18:AF18" si="9">T18</f>
        <v>0</v>
      </c>
      <c r="V18" s="135">
        <f t="shared" si="9"/>
        <v>0</v>
      </c>
      <c r="W18" s="135">
        <f t="shared" si="9"/>
        <v>0</v>
      </c>
      <c r="X18" s="135">
        <f t="shared" si="9"/>
        <v>0</v>
      </c>
      <c r="Y18" s="135">
        <f t="shared" si="9"/>
        <v>0</v>
      </c>
      <c r="Z18" s="135">
        <f t="shared" si="9"/>
        <v>0</v>
      </c>
      <c r="AA18" s="135">
        <f t="shared" si="9"/>
        <v>0</v>
      </c>
      <c r="AB18" s="135">
        <f t="shared" si="9"/>
        <v>0</v>
      </c>
      <c r="AC18" s="135">
        <f t="shared" si="9"/>
        <v>0</v>
      </c>
      <c r="AD18" s="135">
        <f t="shared" si="9"/>
        <v>0</v>
      </c>
      <c r="AE18" s="135">
        <f t="shared" si="9"/>
        <v>0</v>
      </c>
      <c r="AF18" s="135">
        <f t="shared" si="9"/>
        <v>0</v>
      </c>
      <c r="AG18" s="135">
        <f>AF18</f>
        <v>0</v>
      </c>
      <c r="AH18" s="135">
        <f>AG18</f>
        <v>0</v>
      </c>
    </row>
    <row r="19" spans="1:35" ht="25.5">
      <c r="A19" s="133" t="s">
        <v>137</v>
      </c>
      <c r="B19" s="135"/>
      <c r="C19" s="135"/>
      <c r="D19" s="135">
        <f>C19+'2-ф2'!D14-'1-Ф3'!D15-кр!C8</f>
        <v>0</v>
      </c>
      <c r="E19" s="135">
        <f>D19+'2-ф2'!E14-'1-Ф3'!E15-кр!D8</f>
        <v>0</v>
      </c>
      <c r="F19" s="135">
        <f>E19+'2-ф2'!F14-'1-Ф3'!F15-кр!E8</f>
        <v>42.623999999999995</v>
      </c>
      <c r="G19" s="135">
        <f>F19+'2-ф2'!G14-'1-Ф3'!G15-кр!F8</f>
        <v>127.87199999999999</v>
      </c>
      <c r="H19" s="135">
        <f>G19+'2-ф2'!H14-'1-Ф3'!H15-кр!G8</f>
        <v>0</v>
      </c>
      <c r="I19" s="135">
        <f>H19+'2-ф2'!I14-'1-Ф3'!I15-кр!H8</f>
        <v>0</v>
      </c>
      <c r="J19" s="135">
        <f>I19+'2-ф2'!J14-'1-Ф3'!J15-кр!I8</f>
        <v>0</v>
      </c>
      <c r="K19" s="135">
        <f>J19+'2-ф2'!K14-'1-Ф3'!K15-кр!J8</f>
        <v>0</v>
      </c>
      <c r="L19" s="135">
        <f>K19+'2-ф2'!L14-'1-Ф3'!L15-кр!K8</f>
        <v>0</v>
      </c>
      <c r="M19" s="135">
        <f>L19+'2-ф2'!M14-'1-Ф3'!M15-кр!L8</f>
        <v>0</v>
      </c>
      <c r="N19" s="135">
        <f>M19+'2-ф2'!N14-'1-Ф3'!N15-кр!M8</f>
        <v>0</v>
      </c>
      <c r="O19" s="135">
        <f>N19+'2-ф2'!O14-'1-Ф3'!O15-кр!N8</f>
        <v>0</v>
      </c>
      <c r="P19" s="135">
        <f>O19</f>
        <v>0</v>
      </c>
      <c r="Q19" s="135">
        <f>P19+'2-ф2'!Q14-'1-Ф3'!Q15-кр!P8</f>
        <v>0</v>
      </c>
      <c r="R19" s="135">
        <f>Q19+'2-ф2'!R14-'1-Ф3'!R15</f>
        <v>0</v>
      </c>
      <c r="S19" s="135">
        <f>R19+'2-ф2'!S14-'1-Ф3'!S15</f>
        <v>0</v>
      </c>
      <c r="T19" s="135">
        <f>S19+'2-ф2'!T14-'1-Ф3'!T15</f>
        <v>0</v>
      </c>
      <c r="U19" s="135">
        <f>T19+'2-ф2'!U14-'1-Ф3'!U15</f>
        <v>0</v>
      </c>
      <c r="V19" s="135">
        <f>U19+'2-ф2'!V14-'1-Ф3'!V15</f>
        <v>0</v>
      </c>
      <c r="W19" s="135">
        <f>V19+'2-ф2'!W14-'1-Ф3'!W15</f>
        <v>0</v>
      </c>
      <c r="X19" s="135">
        <f>W19+'2-ф2'!X14-'1-Ф3'!X15</f>
        <v>0</v>
      </c>
      <c r="Y19" s="135">
        <f>X19+'2-ф2'!Y14-'1-Ф3'!Y15</f>
        <v>0</v>
      </c>
      <c r="Z19" s="135">
        <f>Y19+'2-ф2'!Z14-'1-Ф3'!Z15</f>
        <v>0</v>
      </c>
      <c r="AA19" s="135">
        <f>Z19+'2-ф2'!AA14-'1-Ф3'!AA15</f>
        <v>0</v>
      </c>
      <c r="AB19" s="135">
        <f>AA19+'2-ф2'!AB14-'1-Ф3'!AB15</f>
        <v>0</v>
      </c>
      <c r="AC19" s="135">
        <f>AB19</f>
        <v>0</v>
      </c>
      <c r="AD19" s="135">
        <f>AC19+'2-ф2'!AD14-'1-Ф3'!AD15</f>
        <v>0</v>
      </c>
      <c r="AE19" s="135">
        <f>AD19+'2-ф2'!AE14-'1-Ф3'!AE15</f>
        <v>0</v>
      </c>
      <c r="AF19" s="135">
        <f>AE19+'2-ф2'!AF14-'1-Ф3'!AF15</f>
        <v>0</v>
      </c>
      <c r="AG19" s="135">
        <f>AF19+'2-ф2'!AG14-'1-Ф3'!AG15</f>
        <v>0</v>
      </c>
      <c r="AH19" s="135">
        <f>AG19+'2-ф2'!AH14-'1-Ф3'!AH15</f>
        <v>0</v>
      </c>
      <c r="AI19" s="122"/>
    </row>
    <row r="20" spans="1:35">
      <c r="A20" s="133" t="s">
        <v>139</v>
      </c>
      <c r="B20" s="135"/>
      <c r="C20" s="135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5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5">
        <f>AB20</f>
        <v>0</v>
      </c>
      <c r="AD20" s="135"/>
      <c r="AE20" s="135"/>
      <c r="AF20" s="135"/>
      <c r="AG20" s="135"/>
      <c r="AH20" s="135"/>
    </row>
    <row r="21" spans="1:35" ht="15" customHeight="1">
      <c r="A21" s="128" t="s">
        <v>140</v>
      </c>
      <c r="B21" s="129"/>
      <c r="C21" s="129">
        <f t="shared" ref="C21:AH21" si="10">SUM(C22:C23)</f>
        <v>0</v>
      </c>
      <c r="D21" s="129">
        <f t="shared" si="10"/>
        <v>0</v>
      </c>
      <c r="E21" s="129">
        <f t="shared" si="10"/>
        <v>4262.3999999999996</v>
      </c>
      <c r="F21" s="129">
        <f t="shared" si="10"/>
        <v>8524.7999999999993</v>
      </c>
      <c r="G21" s="129">
        <f t="shared" si="10"/>
        <v>8524.7999999999993</v>
      </c>
      <c r="H21" s="129">
        <f t="shared" si="10"/>
        <v>8737.92</v>
      </c>
      <c r="I21" s="129">
        <f t="shared" si="10"/>
        <v>8584.6231578947372</v>
      </c>
      <c r="J21" s="129">
        <f t="shared" si="10"/>
        <v>8431.3263157894744</v>
      </c>
      <c r="K21" s="129">
        <f t="shared" si="10"/>
        <v>8278.0294736842116</v>
      </c>
      <c r="L21" s="129">
        <f t="shared" si="10"/>
        <v>8124.7326315789487</v>
      </c>
      <c r="M21" s="129">
        <f t="shared" si="10"/>
        <v>7971.4357894736859</v>
      </c>
      <c r="N21" s="129">
        <f t="shared" si="10"/>
        <v>7818.138947368423</v>
      </c>
      <c r="O21" s="129">
        <f t="shared" si="10"/>
        <v>7664.8421052631602</v>
      </c>
      <c r="P21" s="129">
        <f t="shared" si="10"/>
        <v>7664.8421052631602</v>
      </c>
      <c r="Q21" s="129">
        <f t="shared" si="10"/>
        <v>7511.5452631578974</v>
      </c>
      <c r="R21" s="129">
        <f t="shared" si="10"/>
        <v>7358.2484210526345</v>
      </c>
      <c r="S21" s="129">
        <f t="shared" si="10"/>
        <v>7204.9515789473717</v>
      </c>
      <c r="T21" s="129">
        <f t="shared" si="10"/>
        <v>7051.6547368421088</v>
      </c>
      <c r="U21" s="129">
        <f t="shared" si="10"/>
        <v>6898.357894736846</v>
      </c>
      <c r="V21" s="129">
        <f t="shared" si="10"/>
        <v>6745.0610526315832</v>
      </c>
      <c r="W21" s="129">
        <f t="shared" si="10"/>
        <v>6591.7642105263203</v>
      </c>
      <c r="X21" s="129">
        <f t="shared" si="10"/>
        <v>6438.4673684210575</v>
      </c>
      <c r="Y21" s="129">
        <f t="shared" si="10"/>
        <v>6285.1705263157946</v>
      </c>
      <c r="Z21" s="129">
        <f t="shared" si="10"/>
        <v>6131.8736842105318</v>
      </c>
      <c r="AA21" s="129">
        <f t="shared" si="10"/>
        <v>5978.576842105269</v>
      </c>
      <c r="AB21" s="129">
        <f t="shared" si="10"/>
        <v>5825.2800000000061</v>
      </c>
      <c r="AC21" s="129">
        <f t="shared" si="10"/>
        <v>5825.2800000000061</v>
      </c>
      <c r="AD21" s="129">
        <f t="shared" si="10"/>
        <v>3985.7178947368516</v>
      </c>
      <c r="AE21" s="129">
        <f t="shared" si="10"/>
        <v>2146.155789473692</v>
      </c>
      <c r="AF21" s="129">
        <f t="shared" si="10"/>
        <v>306.59368421053466</v>
      </c>
      <c r="AG21" s="129">
        <f t="shared" si="10"/>
        <v>8.3559825725387782E-12</v>
      </c>
      <c r="AH21" s="129">
        <f t="shared" si="10"/>
        <v>8.3559825725387782E-12</v>
      </c>
    </row>
    <row r="22" spans="1:35">
      <c r="A22" s="133" t="s">
        <v>138</v>
      </c>
      <c r="B22" s="135"/>
      <c r="C22" s="129"/>
      <c r="D22" s="135">
        <f>кр!C12</f>
        <v>0</v>
      </c>
      <c r="E22" s="135">
        <f>кр!D12</f>
        <v>4262.3999999999996</v>
      </c>
      <c r="F22" s="135">
        <f>кр!E12</f>
        <v>8524.7999999999993</v>
      </c>
      <c r="G22" s="135">
        <f>кр!F12</f>
        <v>8524.7999999999993</v>
      </c>
      <c r="H22" s="135">
        <f>кр!G12</f>
        <v>8737.92</v>
      </c>
      <c r="I22" s="135">
        <f>кр!H12</f>
        <v>8584.6231578947372</v>
      </c>
      <c r="J22" s="135">
        <f>кр!I12</f>
        <v>8431.3263157894744</v>
      </c>
      <c r="K22" s="135">
        <f>кр!J12</f>
        <v>8278.0294736842116</v>
      </c>
      <c r="L22" s="135">
        <f>кр!K12</f>
        <v>8124.7326315789487</v>
      </c>
      <c r="M22" s="135">
        <f>кр!L12</f>
        <v>7971.4357894736859</v>
      </c>
      <c r="N22" s="135">
        <f>кр!M12</f>
        <v>7818.138947368423</v>
      </c>
      <c r="O22" s="135">
        <f>кр!N12</f>
        <v>7664.8421052631602</v>
      </c>
      <c r="P22" s="135">
        <f>кр!O12</f>
        <v>7664.8421052631602</v>
      </c>
      <c r="Q22" s="135">
        <f>кр!P12</f>
        <v>7511.5452631578974</v>
      </c>
      <c r="R22" s="135">
        <f>кр!Q12</f>
        <v>7358.2484210526345</v>
      </c>
      <c r="S22" s="135">
        <f>кр!R12</f>
        <v>7204.9515789473717</v>
      </c>
      <c r="T22" s="135">
        <f>кр!S12</f>
        <v>7051.6547368421088</v>
      </c>
      <c r="U22" s="135">
        <f>кр!T12</f>
        <v>6898.357894736846</v>
      </c>
      <c r="V22" s="135">
        <f>кр!U12</f>
        <v>6745.0610526315832</v>
      </c>
      <c r="W22" s="135">
        <f>кр!V12</f>
        <v>6591.7642105263203</v>
      </c>
      <c r="X22" s="135">
        <f>кр!W12</f>
        <v>6438.4673684210575</v>
      </c>
      <c r="Y22" s="135">
        <f>кр!X12</f>
        <v>6285.1705263157946</v>
      </c>
      <c r="Z22" s="135">
        <f>кр!Y12</f>
        <v>6131.8736842105318</v>
      </c>
      <c r="AA22" s="135">
        <f>кр!Z12</f>
        <v>5978.576842105269</v>
      </c>
      <c r="AB22" s="135">
        <f>кр!AA12</f>
        <v>5825.2800000000061</v>
      </c>
      <c r="AC22" s="135">
        <f>кр!AB12</f>
        <v>5825.2800000000061</v>
      </c>
      <c r="AD22" s="135">
        <f>кр!AO12</f>
        <v>3985.7178947368516</v>
      </c>
      <c r="AE22" s="135">
        <f>кр!BB12</f>
        <v>2146.155789473692</v>
      </c>
      <c r="AF22" s="135">
        <f>кр!BO12</f>
        <v>306.59368421053466</v>
      </c>
      <c r="AG22" s="135">
        <f>кр!CB12</f>
        <v>8.3559825725387782E-12</v>
      </c>
      <c r="AH22" s="135">
        <f>кр!CO12</f>
        <v>8.3559825725387782E-12</v>
      </c>
    </row>
    <row r="23" spans="1:35" ht="15" hidden="1" customHeight="1">
      <c r="A23" s="133" t="s">
        <v>141</v>
      </c>
      <c r="B23" s="135"/>
      <c r="C23" s="135"/>
      <c r="D23" s="135">
        <f>C23</f>
        <v>0</v>
      </c>
      <c r="E23" s="135">
        <f>D23</f>
        <v>0</v>
      </c>
      <c r="F23" s="135">
        <f t="shared" ref="F23:AH23" si="11">E23</f>
        <v>0</v>
      </c>
      <c r="G23" s="135">
        <f t="shared" si="11"/>
        <v>0</v>
      </c>
      <c r="H23" s="135">
        <f t="shared" si="11"/>
        <v>0</v>
      </c>
      <c r="I23" s="135">
        <f t="shared" si="11"/>
        <v>0</v>
      </c>
      <c r="J23" s="135">
        <f t="shared" si="11"/>
        <v>0</v>
      </c>
      <c r="K23" s="135">
        <f t="shared" si="11"/>
        <v>0</v>
      </c>
      <c r="L23" s="135">
        <f t="shared" si="11"/>
        <v>0</v>
      </c>
      <c r="M23" s="135">
        <f t="shared" si="11"/>
        <v>0</v>
      </c>
      <c r="N23" s="135">
        <f t="shared" si="11"/>
        <v>0</v>
      </c>
      <c r="O23" s="135">
        <f t="shared" si="11"/>
        <v>0</v>
      </c>
      <c r="P23" s="135">
        <f t="shared" si="11"/>
        <v>0</v>
      </c>
      <c r="Q23" s="135">
        <f t="shared" si="11"/>
        <v>0</v>
      </c>
      <c r="R23" s="135">
        <f t="shared" si="11"/>
        <v>0</v>
      </c>
      <c r="S23" s="135">
        <f t="shared" si="11"/>
        <v>0</v>
      </c>
      <c r="T23" s="135">
        <f t="shared" si="11"/>
        <v>0</v>
      </c>
      <c r="U23" s="135">
        <f t="shared" si="11"/>
        <v>0</v>
      </c>
      <c r="V23" s="135">
        <f t="shared" si="11"/>
        <v>0</v>
      </c>
      <c r="W23" s="135">
        <f t="shared" si="11"/>
        <v>0</v>
      </c>
      <c r="X23" s="135">
        <f t="shared" si="11"/>
        <v>0</v>
      </c>
      <c r="Y23" s="135">
        <f t="shared" si="11"/>
        <v>0</v>
      </c>
      <c r="Z23" s="135">
        <f t="shared" si="11"/>
        <v>0</v>
      </c>
      <c r="AA23" s="135">
        <f t="shared" si="11"/>
        <v>0</v>
      </c>
      <c r="AB23" s="135">
        <f t="shared" si="11"/>
        <v>0</v>
      </c>
      <c r="AC23" s="129">
        <f>AB23</f>
        <v>0</v>
      </c>
      <c r="AD23" s="135">
        <f t="shared" si="11"/>
        <v>0</v>
      </c>
      <c r="AE23" s="135">
        <f t="shared" si="11"/>
        <v>0</v>
      </c>
      <c r="AF23" s="135">
        <f t="shared" si="11"/>
        <v>0</v>
      </c>
      <c r="AG23" s="135">
        <f t="shared" si="11"/>
        <v>0</v>
      </c>
      <c r="AH23" s="135">
        <f t="shared" si="11"/>
        <v>0</v>
      </c>
    </row>
    <row r="24" spans="1:35" s="132" customFormat="1" ht="15" customHeight="1">
      <c r="A24" s="128" t="s">
        <v>142</v>
      </c>
      <c r="B24" s="129"/>
      <c r="C24" s="129">
        <f t="shared" ref="C24:AH24" si="12">SUM(C25:C26)</f>
        <v>0</v>
      </c>
      <c r="D24" s="129">
        <f t="shared" si="12"/>
        <v>0</v>
      </c>
      <c r="E24" s="129">
        <f t="shared" si="12"/>
        <v>1065.6000000000001</v>
      </c>
      <c r="F24" s="129">
        <f t="shared" si="12"/>
        <v>2088.5760000000005</v>
      </c>
      <c r="G24" s="129">
        <f t="shared" si="12"/>
        <v>2129.7699000000002</v>
      </c>
      <c r="H24" s="129">
        <f t="shared" si="12"/>
        <v>2170.9638000000004</v>
      </c>
      <c r="I24" s="129">
        <f t="shared" si="12"/>
        <v>2210.0264999999999</v>
      </c>
      <c r="J24" s="129">
        <f t="shared" si="12"/>
        <v>2250.6221684210527</v>
      </c>
      <c r="K24" s="129">
        <f t="shared" si="12"/>
        <v>2292.7508052631579</v>
      </c>
      <c r="L24" s="129">
        <f t="shared" si="12"/>
        <v>2336.4124105263159</v>
      </c>
      <c r="M24" s="129">
        <f t="shared" si="12"/>
        <v>2381.6069842105262</v>
      </c>
      <c r="N24" s="129">
        <f t="shared" si="12"/>
        <v>2428.3345263157894</v>
      </c>
      <c r="O24" s="129">
        <f t="shared" si="12"/>
        <v>2476.5950368421054</v>
      </c>
      <c r="P24" s="129">
        <f t="shared" si="12"/>
        <v>2476.5950368421054</v>
      </c>
      <c r="Q24" s="129">
        <f t="shared" si="12"/>
        <v>2595.2658157894739</v>
      </c>
      <c r="R24" s="129">
        <f t="shared" si="12"/>
        <v>2715.4695631578948</v>
      </c>
      <c r="S24" s="129">
        <f t="shared" si="12"/>
        <v>2837.2062789473684</v>
      </c>
      <c r="T24" s="129">
        <f t="shared" si="12"/>
        <v>2960.4759631578945</v>
      </c>
      <c r="U24" s="129">
        <f t="shared" si="12"/>
        <v>3085.2786157894739</v>
      </c>
      <c r="V24" s="129">
        <f t="shared" si="12"/>
        <v>3211.6142368421051</v>
      </c>
      <c r="W24" s="129">
        <f t="shared" si="12"/>
        <v>3339.4828263157897</v>
      </c>
      <c r="X24" s="129">
        <f t="shared" si="12"/>
        <v>3468.8843842105266</v>
      </c>
      <c r="Y24" s="129">
        <f t="shared" si="12"/>
        <v>3599.8189105263164</v>
      </c>
      <c r="Z24" s="129">
        <f t="shared" si="12"/>
        <v>3732.2864052631585</v>
      </c>
      <c r="AA24" s="129">
        <f t="shared" si="12"/>
        <v>3866.286868421053</v>
      </c>
      <c r="AB24" s="129">
        <f t="shared" si="12"/>
        <v>4001.8203000000003</v>
      </c>
      <c r="AC24" s="129">
        <f t="shared" si="12"/>
        <v>4001.8203000000003</v>
      </c>
      <c r="AD24" s="129">
        <f t="shared" si="12"/>
        <v>6574.3206157894729</v>
      </c>
      <c r="AE24" s="129">
        <f t="shared" si="12"/>
        <v>10194.095984210524</v>
      </c>
      <c r="AF24" s="129">
        <f t="shared" si="12"/>
        <v>14861.146405263156</v>
      </c>
      <c r="AG24" s="129">
        <f t="shared" si="12"/>
        <v>19679.9607</v>
      </c>
      <c r="AH24" s="129">
        <f t="shared" si="12"/>
        <v>24503.373899999999</v>
      </c>
    </row>
    <row r="25" spans="1:35" ht="15" customHeight="1">
      <c r="A25" s="133" t="s">
        <v>143</v>
      </c>
      <c r="B25" s="129"/>
      <c r="C25" s="135"/>
      <c r="D25" s="135">
        <f>C25+'1-Ф3'!D28</f>
        <v>0</v>
      </c>
      <c r="E25" s="135">
        <f>D25+'1-Ф3'!E28</f>
        <v>1065.6000000000001</v>
      </c>
      <c r="F25" s="135">
        <f>E25+'1-Ф3'!F28</f>
        <v>2131.2000000000003</v>
      </c>
      <c r="G25" s="135">
        <f>F25+'1-Ф3'!G28</f>
        <v>2131.2000000000003</v>
      </c>
      <c r="H25" s="135">
        <f>G25+'1-Ф3'!H28</f>
        <v>2131.2000000000003</v>
      </c>
      <c r="I25" s="135">
        <f>H25+'1-Ф3'!I28</f>
        <v>2131.2000000000003</v>
      </c>
      <c r="J25" s="135">
        <f>I25+'1-Ф3'!J28</f>
        <v>2131.2000000000003</v>
      </c>
      <c r="K25" s="135">
        <f>J25+'1-Ф3'!K28</f>
        <v>2131.2000000000003</v>
      </c>
      <c r="L25" s="135">
        <f>K25+'1-Ф3'!L28</f>
        <v>2131.2000000000003</v>
      </c>
      <c r="M25" s="135">
        <f>L25+'1-Ф3'!M28</f>
        <v>2131.2000000000003</v>
      </c>
      <c r="N25" s="135">
        <f>M25+'1-Ф3'!N28</f>
        <v>2131.2000000000003</v>
      </c>
      <c r="O25" s="135">
        <f>N25+'1-Ф3'!O28</f>
        <v>2131.2000000000003</v>
      </c>
      <c r="P25" s="135">
        <f>O25</f>
        <v>2131.2000000000003</v>
      </c>
      <c r="Q25" s="135">
        <f>P25+'1-Ф3'!Q28</f>
        <v>2131.2000000000003</v>
      </c>
      <c r="R25" s="135">
        <f>Q25+'1-Ф3'!R28</f>
        <v>2131.2000000000003</v>
      </c>
      <c r="S25" s="135">
        <f>R25+'1-Ф3'!S28</f>
        <v>2131.2000000000003</v>
      </c>
      <c r="T25" s="135">
        <f>S25+'1-Ф3'!T28</f>
        <v>2131.2000000000003</v>
      </c>
      <c r="U25" s="135">
        <f>T25+'1-Ф3'!U28</f>
        <v>2131.2000000000003</v>
      </c>
      <c r="V25" s="135">
        <f>U25+'1-Ф3'!V28</f>
        <v>2131.2000000000003</v>
      </c>
      <c r="W25" s="135">
        <f>V25+'1-Ф3'!W28</f>
        <v>2131.2000000000003</v>
      </c>
      <c r="X25" s="135">
        <f>W25+'1-Ф3'!X28</f>
        <v>2131.2000000000003</v>
      </c>
      <c r="Y25" s="135">
        <f>X25+'1-Ф3'!Y28</f>
        <v>2131.2000000000003</v>
      </c>
      <c r="Z25" s="135">
        <f>Y25+'1-Ф3'!Z28</f>
        <v>2131.2000000000003</v>
      </c>
      <c r="AA25" s="135">
        <f>Z25+'1-Ф3'!AA28</f>
        <v>2131.2000000000003</v>
      </c>
      <c r="AB25" s="135">
        <f>AA25+'1-Ф3'!AB28</f>
        <v>2131.2000000000003</v>
      </c>
      <c r="AC25" s="135">
        <f>AB25</f>
        <v>2131.2000000000003</v>
      </c>
      <c r="AD25" s="135">
        <f>AC25+'1-Ф3'!AD28</f>
        <v>2131.2000000000003</v>
      </c>
      <c r="AE25" s="135">
        <f>AD25+'1-Ф3'!AE28</f>
        <v>2131.2000000000003</v>
      </c>
      <c r="AF25" s="135">
        <f>AE25+'1-Ф3'!AF28</f>
        <v>2131.2000000000003</v>
      </c>
      <c r="AG25" s="135">
        <f>AF25+'1-Ф3'!AG28</f>
        <v>2131.2000000000003</v>
      </c>
      <c r="AH25" s="135">
        <f>AG25+'1-Ф3'!AH28</f>
        <v>2131.2000000000003</v>
      </c>
    </row>
    <row r="26" spans="1:35" ht="15" customHeight="1">
      <c r="A26" s="133" t="s">
        <v>144</v>
      </c>
      <c r="B26" s="129"/>
      <c r="C26" s="135"/>
      <c r="D26" s="135">
        <f>'2-ф2'!D18</f>
        <v>0</v>
      </c>
      <c r="E26" s="135">
        <f>'2-ф2'!E18</f>
        <v>0</v>
      </c>
      <c r="F26" s="135">
        <f>'2-ф2'!F18</f>
        <v>-42.623999999999995</v>
      </c>
      <c r="G26" s="135">
        <f>'2-ф2'!G18</f>
        <v>-1.4301000000000172</v>
      </c>
      <c r="H26" s="135">
        <f>'2-ф2'!H18</f>
        <v>39.763799999999961</v>
      </c>
      <c r="I26" s="135">
        <f>'2-ф2'!I18</f>
        <v>78.826499999999896</v>
      </c>
      <c r="J26" s="135">
        <f>'2-ф2'!J18</f>
        <v>119.4221684210525</v>
      </c>
      <c r="K26" s="135">
        <f>'2-ф2'!K18</f>
        <v>161.55080526315774</v>
      </c>
      <c r="L26" s="135">
        <f>'2-ф2'!L18</f>
        <v>205.21241052631561</v>
      </c>
      <c r="M26" s="135">
        <f>'2-ф2'!M18</f>
        <v>250.40698421052608</v>
      </c>
      <c r="N26" s="135">
        <f>'2-ф2'!N18</f>
        <v>297.13452631578917</v>
      </c>
      <c r="O26" s="135">
        <f>'2-ф2'!O18</f>
        <v>345.3950368421049</v>
      </c>
      <c r="P26" s="135">
        <f>'2-ф2'!P18</f>
        <v>345.3950368421049</v>
      </c>
      <c r="Q26" s="135">
        <f>'2-ф2'!Q18</f>
        <v>464.06581578947339</v>
      </c>
      <c r="R26" s="135">
        <f>'2-ф2'!R18</f>
        <v>584.26956315789448</v>
      </c>
      <c r="S26" s="135">
        <f>'2-ф2'!S18</f>
        <v>706.00627894736817</v>
      </c>
      <c r="T26" s="135">
        <f>'2-ф2'!T18</f>
        <v>829.27596315789447</v>
      </c>
      <c r="U26" s="135">
        <f>'2-ф2'!U18</f>
        <v>954.07861578947347</v>
      </c>
      <c r="V26" s="135">
        <f>'2-ф2'!V18</f>
        <v>1080.4142368421051</v>
      </c>
      <c r="W26" s="135">
        <f>'2-ф2'!W18</f>
        <v>1208.2828263157894</v>
      </c>
      <c r="X26" s="135">
        <f>'2-ф2'!X18</f>
        <v>1337.6843842105263</v>
      </c>
      <c r="Y26" s="135">
        <f>'2-ф2'!Y18</f>
        <v>1468.6189105263159</v>
      </c>
      <c r="Z26" s="135">
        <f>'2-ф2'!Z18</f>
        <v>1601.086405263158</v>
      </c>
      <c r="AA26" s="135">
        <f>'2-ф2'!AA18</f>
        <v>1735.0868684210527</v>
      </c>
      <c r="AB26" s="135">
        <f>'2-ф2'!AB18</f>
        <v>1870.6203</v>
      </c>
      <c r="AC26" s="135">
        <f>'2-ф2'!AC18</f>
        <v>1870.6203</v>
      </c>
      <c r="AD26" s="135">
        <f>'2-ф2'!AD18</f>
        <v>4443.1206157894721</v>
      </c>
      <c r="AE26" s="135">
        <f>'2-ф2'!AE18</f>
        <v>8062.8959842105232</v>
      </c>
      <c r="AF26" s="135">
        <f>'2-ф2'!AF18</f>
        <v>12729.946405263156</v>
      </c>
      <c r="AG26" s="135">
        <f>'2-ф2'!AG18</f>
        <v>17548.760699999999</v>
      </c>
      <c r="AH26" s="135">
        <f>'2-ф2'!AH18</f>
        <v>22372.173899999998</v>
      </c>
    </row>
    <row r="28" spans="1:35">
      <c r="A28" s="138" t="s">
        <v>145</v>
      </c>
      <c r="B28" s="139"/>
      <c r="C28" s="140">
        <f t="shared" ref="C28:AH28" si="13">C5-C16</f>
        <v>0</v>
      </c>
      <c r="D28" s="141">
        <f t="shared" si="13"/>
        <v>0</v>
      </c>
      <c r="E28" s="141">
        <f t="shared" si="13"/>
        <v>0</v>
      </c>
      <c r="F28" s="141">
        <f t="shared" si="13"/>
        <v>0</v>
      </c>
      <c r="G28" s="141">
        <f t="shared" si="13"/>
        <v>0</v>
      </c>
      <c r="H28" s="141">
        <f t="shared" si="13"/>
        <v>0</v>
      </c>
      <c r="I28" s="141">
        <f t="shared" si="13"/>
        <v>0</v>
      </c>
      <c r="J28" s="141">
        <f t="shared" si="13"/>
        <v>0</v>
      </c>
      <c r="K28" s="141">
        <f t="shared" si="13"/>
        <v>0</v>
      </c>
      <c r="L28" s="141">
        <f t="shared" si="13"/>
        <v>0</v>
      </c>
      <c r="M28" s="141">
        <f t="shared" si="13"/>
        <v>0</v>
      </c>
      <c r="N28" s="141">
        <f t="shared" si="13"/>
        <v>0</v>
      </c>
      <c r="O28" s="141">
        <f t="shared" si="13"/>
        <v>0</v>
      </c>
      <c r="P28" s="141">
        <f t="shared" si="13"/>
        <v>0</v>
      </c>
      <c r="Q28" s="141">
        <f t="shared" si="13"/>
        <v>0</v>
      </c>
      <c r="R28" s="141">
        <f t="shared" si="13"/>
        <v>0</v>
      </c>
      <c r="S28" s="141">
        <f t="shared" si="13"/>
        <v>0</v>
      </c>
      <c r="T28" s="141">
        <f t="shared" si="13"/>
        <v>0</v>
      </c>
      <c r="U28" s="141">
        <f t="shared" si="13"/>
        <v>0</v>
      </c>
      <c r="V28" s="141">
        <f t="shared" si="13"/>
        <v>0</v>
      </c>
      <c r="W28" s="141">
        <f t="shared" si="13"/>
        <v>0</v>
      </c>
      <c r="X28" s="141">
        <f t="shared" si="13"/>
        <v>0</v>
      </c>
      <c r="Y28" s="141">
        <f t="shared" si="13"/>
        <v>0</v>
      </c>
      <c r="Z28" s="141">
        <f t="shared" si="13"/>
        <v>0</v>
      </c>
      <c r="AA28" s="141">
        <f t="shared" si="13"/>
        <v>0</v>
      </c>
      <c r="AB28" s="141">
        <f t="shared" si="13"/>
        <v>0</v>
      </c>
      <c r="AC28" s="141">
        <f t="shared" si="13"/>
        <v>0</v>
      </c>
      <c r="AD28" s="141">
        <f t="shared" si="13"/>
        <v>0</v>
      </c>
      <c r="AE28" s="141">
        <f t="shared" si="13"/>
        <v>0</v>
      </c>
      <c r="AF28" s="141">
        <f t="shared" si="13"/>
        <v>0</v>
      </c>
      <c r="AG28" s="141">
        <f t="shared" si="13"/>
        <v>0</v>
      </c>
      <c r="AH28" s="141">
        <f t="shared" si="13"/>
        <v>0</v>
      </c>
    </row>
    <row r="30" spans="1:35" ht="12.75" hidden="1" customHeight="1">
      <c r="A30" s="121" t="s">
        <v>144</v>
      </c>
      <c r="P30" s="122">
        <f>P26</f>
        <v>345.3950368421049</v>
      </c>
      <c r="Q30" s="122">
        <v>109.48954266069855</v>
      </c>
      <c r="R30" s="122">
        <v>109.48954266069855</v>
      </c>
      <c r="S30" s="122">
        <v>108.45296951069854</v>
      </c>
      <c r="T30" s="122">
        <v>106.37982321069852</v>
      </c>
      <c r="U30" s="122">
        <v>103.27010376069849</v>
      </c>
      <c r="V30" s="122">
        <v>103.27010376069849</v>
      </c>
      <c r="W30" s="122">
        <v>103.27010376069849</v>
      </c>
      <c r="X30" s="122">
        <v>99.201253408558813</v>
      </c>
      <c r="Y30" s="122">
        <v>99.201253408558813</v>
      </c>
      <c r="Z30" s="122">
        <v>99.201253408558813</v>
      </c>
      <c r="AA30" s="122">
        <v>99.201253408558813</v>
      </c>
      <c r="AB30" s="122">
        <v>82.616083008558789</v>
      </c>
      <c r="AC30" s="122">
        <f>AC26-P26</f>
        <v>1525.2252631578951</v>
      </c>
      <c r="AD30" s="122">
        <f>AD26-AC26</f>
        <v>2572.5003157894721</v>
      </c>
      <c r="AE30" s="122">
        <f>AE26-AD26</f>
        <v>3619.7753684210511</v>
      </c>
      <c r="AF30" s="122">
        <f>AF26-AE26</f>
        <v>4667.0504210526324</v>
      </c>
      <c r="AG30" s="122">
        <f>AG26-AF26</f>
        <v>4818.8142947368433</v>
      </c>
      <c r="AH30" s="122">
        <f>AH26-AG26</f>
        <v>4823.4131999999991</v>
      </c>
    </row>
    <row r="31" spans="1:35" ht="12.75" hidden="1" customHeight="1">
      <c r="A31" s="121" t="s">
        <v>146</v>
      </c>
      <c r="P31" s="122">
        <f>(P8+P10+P13+P14)-(C8+C10+C13+C14)</f>
        <v>0</v>
      </c>
      <c r="AC31" s="122">
        <f>(AC8+AC10+AC13+AC14)-(P8+P10+P13+P14)</f>
        <v>0</v>
      </c>
      <c r="AD31" s="122">
        <f>(AD8+AD10+AD13+AD14)-(AC8+AC10+AC13+AC14)</f>
        <v>0</v>
      </c>
      <c r="AE31" s="122">
        <f>(AE8+AE10+AE13+AE14)-(AD8+AD10+AD13+AD14)</f>
        <v>0</v>
      </c>
      <c r="AF31" s="122">
        <f>(AF8+AF10+AF13+AF14)-(AE8+AE10+AE13+AE14)</f>
        <v>0</v>
      </c>
      <c r="AG31" s="122">
        <f>(AG8+AG10+AG13+AG14)-(AF8+AF10+AF13+AF14)</f>
        <v>0</v>
      </c>
      <c r="AH31" s="122">
        <f>(AH8+AH10+AH13+AH14)-(AG8+AG10+AG13+AG14)</f>
        <v>0</v>
      </c>
    </row>
    <row r="32" spans="1:35" ht="12.75" hidden="1" customHeight="1">
      <c r="A32" s="121" t="s">
        <v>147</v>
      </c>
      <c r="P32" s="122">
        <f>P9-C9</f>
        <v>0</v>
      </c>
      <c r="AC32" s="122">
        <f>AC9-P9</f>
        <v>0</v>
      </c>
      <c r="AD32" s="122">
        <f>AD9-AC9</f>
        <v>0</v>
      </c>
      <c r="AE32" s="122">
        <f>AE9-AD9</f>
        <v>0</v>
      </c>
      <c r="AF32" s="122">
        <f>AF9-AE9</f>
        <v>0</v>
      </c>
      <c r="AG32" s="122">
        <f>AG9-AF9</f>
        <v>0</v>
      </c>
      <c r="AH32" s="122">
        <f>AH9-AG9</f>
        <v>0</v>
      </c>
    </row>
    <row r="33" spans="1:34" ht="12.75" hidden="1" customHeight="1">
      <c r="A33" s="121" t="s">
        <v>148</v>
      </c>
      <c r="P33" s="122">
        <f>(P21+P17)-(C21+C17)</f>
        <v>7664.8421052631602</v>
      </c>
      <c r="AC33" s="122">
        <f>(AC21+AC17)-(P21+P17)</f>
        <v>-1839.5621052631541</v>
      </c>
      <c r="AD33" s="122">
        <f>(AD21+AD17)-(AC21+AC17)</f>
        <v>-1839.5621052631545</v>
      </c>
      <c r="AE33" s="122">
        <f>(AE21+AE17)-(AD21+AD17)</f>
        <v>-1839.5621052631595</v>
      </c>
      <c r="AF33" s="122">
        <f>(AF21+AF17)-(AE21+AE17)</f>
        <v>-1839.5621052631573</v>
      </c>
      <c r="AG33" s="122">
        <f>(AG21+AG17)-(AF21+AF17)</f>
        <v>-306.59368421052631</v>
      </c>
      <c r="AH33" s="122">
        <f>(AH21+AH17)-(AG21+AG17)</f>
        <v>0</v>
      </c>
    </row>
    <row r="34" spans="1:34" ht="12.75" hidden="1" customHeight="1">
      <c r="A34" s="121" t="s">
        <v>149</v>
      </c>
      <c r="P34" s="122">
        <f>-P31+P32+P33</f>
        <v>7664.8421052631602</v>
      </c>
      <c r="Q34" s="122">
        <f t="shared" ref="Q34:AB34" si="14">Q31+Q32+Q33</f>
        <v>0</v>
      </c>
      <c r="R34" s="122">
        <f t="shared" si="14"/>
        <v>0</v>
      </c>
      <c r="S34" s="122">
        <f t="shared" si="14"/>
        <v>0</v>
      </c>
      <c r="T34" s="122">
        <f t="shared" si="14"/>
        <v>0</v>
      </c>
      <c r="U34" s="122">
        <f t="shared" si="14"/>
        <v>0</v>
      </c>
      <c r="V34" s="122">
        <f t="shared" si="14"/>
        <v>0</v>
      </c>
      <c r="W34" s="122">
        <f t="shared" si="14"/>
        <v>0</v>
      </c>
      <c r="X34" s="122">
        <f t="shared" si="14"/>
        <v>0</v>
      </c>
      <c r="Y34" s="122">
        <f t="shared" si="14"/>
        <v>0</v>
      </c>
      <c r="Z34" s="122">
        <f t="shared" si="14"/>
        <v>0</v>
      </c>
      <c r="AA34" s="122">
        <f t="shared" si="14"/>
        <v>0</v>
      </c>
      <c r="AB34" s="122">
        <f t="shared" si="14"/>
        <v>0</v>
      </c>
      <c r="AC34" s="122">
        <f t="shared" ref="AC34:AH34" si="15">-AC31+AC32+AC33</f>
        <v>-1839.5621052631541</v>
      </c>
      <c r="AD34" s="122">
        <f t="shared" si="15"/>
        <v>-1839.5621052631545</v>
      </c>
      <c r="AE34" s="122">
        <f t="shared" si="15"/>
        <v>-1839.5621052631595</v>
      </c>
      <c r="AF34" s="122">
        <f t="shared" si="15"/>
        <v>-1839.5621052631573</v>
      </c>
      <c r="AG34" s="122">
        <f t="shared" si="15"/>
        <v>-306.59368421052631</v>
      </c>
      <c r="AH34" s="122">
        <f t="shared" si="15"/>
        <v>0</v>
      </c>
    </row>
    <row r="35" spans="1:34" ht="12.75" hidden="1" customHeight="1">
      <c r="A35" s="121" t="s">
        <v>77</v>
      </c>
      <c r="P35" s="122">
        <f>'2-ф2'!P13</f>
        <v>799.2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>
        <f>'2-ф2'!AC13</f>
        <v>1065.5999999999999</v>
      </c>
      <c r="AD35" s="122">
        <f>'2-ф2'!AD13</f>
        <v>1065.6000000000001</v>
      </c>
      <c r="AE35" s="122">
        <f>'2-ф2'!AE13</f>
        <v>1065.6000000000001</v>
      </c>
      <c r="AF35" s="122">
        <f>'2-ф2'!AF13</f>
        <v>1065.6000000000001</v>
      </c>
      <c r="AG35" s="122">
        <f>'2-ф2'!AG13</f>
        <v>1065.6000000000001</v>
      </c>
      <c r="AH35" s="122">
        <f>'2-ф2'!AH13</f>
        <v>1065.6000000000001</v>
      </c>
    </row>
    <row r="36" spans="1:34" ht="12.75" hidden="1" customHeight="1">
      <c r="A36" s="121" t="s">
        <v>150</v>
      </c>
      <c r="P36" s="122">
        <f>-'1-Ф3'!P21</f>
        <v>-10656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>
        <f>-'1-Ф3'!AC21</f>
        <v>0</v>
      </c>
      <c r="AD36" s="122">
        <f>-'1-Ф3'!AD21</f>
        <v>0</v>
      </c>
      <c r="AE36" s="122">
        <f>-'1-Ф3'!AE21</f>
        <v>0</v>
      </c>
      <c r="AF36" s="122">
        <f>-'1-Ф3'!AF21</f>
        <v>0</v>
      </c>
      <c r="AG36" s="122">
        <f>-'1-Ф3'!AG21</f>
        <v>0</v>
      </c>
      <c r="AH36" s="122">
        <f>-'1-Ф3'!AH21</f>
        <v>0</v>
      </c>
    </row>
    <row r="37" spans="1:34" ht="12.75" hidden="1" customHeight="1">
      <c r="A37" s="121" t="s">
        <v>151</v>
      </c>
      <c r="P37" s="122">
        <f>P30+P34+P35+P36+P25</f>
        <v>284.63714210526587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>
        <f t="shared" ref="AC37:AH37" si="16">AC30+AC34+AC35+AC36</f>
        <v>751.26315789474097</v>
      </c>
      <c r="AD37" s="122">
        <f t="shared" si="16"/>
        <v>1798.5382105263177</v>
      </c>
      <c r="AE37" s="122">
        <f t="shared" si="16"/>
        <v>2845.8132631578919</v>
      </c>
      <c r="AF37" s="122">
        <f t="shared" si="16"/>
        <v>3893.088315789475</v>
      </c>
      <c r="AG37" s="122">
        <f t="shared" si="16"/>
        <v>5577.8206105263171</v>
      </c>
      <c r="AH37" s="122">
        <f t="shared" si="16"/>
        <v>5889.0131999999994</v>
      </c>
    </row>
    <row r="38" spans="1:34" ht="12.75" hidden="1" customHeight="1"/>
    <row r="39" spans="1:34" ht="12.75" hidden="1" customHeight="1">
      <c r="A39" s="121" t="s">
        <v>157</v>
      </c>
      <c r="P39" s="122">
        <f>'1-Ф3'!P34</f>
        <v>284.63714210526268</v>
      </c>
      <c r="AC39" s="122">
        <f>'1-Ф3'!AC34</f>
        <v>751.26315789473506</v>
      </c>
      <c r="AD39" s="122">
        <f>'1-Ф3'!AD34</f>
        <v>1798.5382105263163</v>
      </c>
      <c r="AE39" s="122">
        <f>'1-Ф3'!AE34</f>
        <v>2845.8132631578937</v>
      </c>
      <c r="AF39" s="122">
        <f>'1-Ф3'!AF34</f>
        <v>3893.0883157894732</v>
      </c>
      <c r="AG39" s="122">
        <f>'1-Ф3'!AG34</f>
        <v>5577.8206105263134</v>
      </c>
      <c r="AH39" s="122">
        <f>'1-Ф3'!AH34</f>
        <v>5889.0131999999976</v>
      </c>
    </row>
    <row r="40" spans="1:34" ht="12.75" hidden="1" customHeight="1">
      <c r="A40" s="138" t="s">
        <v>145</v>
      </c>
      <c r="B40" s="139"/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>
        <f>P39-P37</f>
        <v>-3.1832314562052488E-12</v>
      </c>
      <c r="Q40" s="141">
        <f t="shared" ref="Q40:AB40" si="17">Q39-Q37</f>
        <v>0</v>
      </c>
      <c r="R40" s="141">
        <f t="shared" si="17"/>
        <v>0</v>
      </c>
      <c r="S40" s="141">
        <f t="shared" si="17"/>
        <v>0</v>
      </c>
      <c r="T40" s="141">
        <f t="shared" si="17"/>
        <v>0</v>
      </c>
      <c r="U40" s="141">
        <f t="shared" si="17"/>
        <v>0</v>
      </c>
      <c r="V40" s="141">
        <f t="shared" si="17"/>
        <v>0</v>
      </c>
      <c r="W40" s="141">
        <f t="shared" si="17"/>
        <v>0</v>
      </c>
      <c r="X40" s="141">
        <f t="shared" si="17"/>
        <v>0</v>
      </c>
      <c r="Y40" s="141">
        <f t="shared" si="17"/>
        <v>0</v>
      </c>
      <c r="Z40" s="141">
        <f t="shared" si="17"/>
        <v>0</v>
      </c>
      <c r="AA40" s="141">
        <f t="shared" si="17"/>
        <v>0</v>
      </c>
      <c r="AB40" s="141">
        <f t="shared" si="17"/>
        <v>0</v>
      </c>
      <c r="AC40" s="141">
        <f t="shared" ref="AC40:AH40" si="18">AC39-AC37</f>
        <v>-5.9117155615240335E-12</v>
      </c>
      <c r="AD40" s="141">
        <f t="shared" si="18"/>
        <v>0</v>
      </c>
      <c r="AE40" s="141">
        <f t="shared" si="18"/>
        <v>0</v>
      </c>
      <c r="AF40" s="141">
        <f t="shared" si="18"/>
        <v>0</v>
      </c>
      <c r="AG40" s="141">
        <f t="shared" si="18"/>
        <v>0</v>
      </c>
      <c r="AH40" s="141">
        <f t="shared" si="18"/>
        <v>0</v>
      </c>
    </row>
  </sheetData>
  <mergeCells count="4">
    <mergeCell ref="A3:A4"/>
    <mergeCell ref="B3:B4"/>
    <mergeCell ref="D3:P3"/>
    <mergeCell ref="Q3:AC3"/>
  </mergeCells>
  <pageMargins left="0.35433070866141736" right="0.23622047244094491" top="0.78740157480314965" bottom="0.23622047244094491" header="0.4" footer="0.15748031496062992"/>
  <pageSetup paperSize="9" orientation="landscape" r:id="rId1"/>
  <headerFooter alignWithMargins="0">
    <oddHeader>&amp;RПриложение 3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F30"/>
  <sheetViews>
    <sheetView showGridLines="0" workbookViewId="0">
      <pane ySplit="3" topLeftCell="A4" activePane="bottomLeft" state="frozen"/>
      <selection activeCell="A34" sqref="A34"/>
      <selection pane="bottomLeft" activeCell="F3" sqref="F3"/>
    </sheetView>
  </sheetViews>
  <sheetFormatPr defaultRowHeight="12.75"/>
  <cols>
    <col min="1" max="1" width="28.7109375" style="77" customWidth="1"/>
    <col min="2" max="2" width="14.5703125" style="77" customWidth="1"/>
    <col min="3" max="3" width="17" style="77" customWidth="1"/>
    <col min="4" max="13" width="9.140625" style="77"/>
    <col min="14" max="14" width="12" style="77" customWidth="1"/>
    <col min="15" max="15" width="11" style="77" customWidth="1"/>
    <col min="16" max="16384" width="9.140625" style="77"/>
  </cols>
  <sheetData>
    <row r="1" spans="1:6" ht="15.75" customHeight="1">
      <c r="A1" s="282" t="s">
        <v>39</v>
      </c>
      <c r="B1" s="282"/>
      <c r="C1" s="282"/>
    </row>
    <row r="2" spans="1:6" ht="12" customHeight="1">
      <c r="A2" s="61"/>
    </row>
    <row r="3" spans="1:6">
      <c r="A3" s="78" t="s">
        <v>28</v>
      </c>
      <c r="B3" s="79" t="s">
        <v>40</v>
      </c>
      <c r="C3" s="79" t="s">
        <v>8</v>
      </c>
      <c r="F3" s="262"/>
    </row>
    <row r="4" spans="1:6">
      <c r="A4" s="61" t="s">
        <v>160</v>
      </c>
    </row>
    <row r="5" spans="1:6">
      <c r="A5" s="80" t="s">
        <v>108</v>
      </c>
      <c r="B5" s="80"/>
      <c r="C5" s="147">
        <v>148</v>
      </c>
    </row>
    <row r="6" spans="1:6">
      <c r="A6" s="80" t="s">
        <v>170</v>
      </c>
      <c r="B6" s="80"/>
      <c r="C6" s="147">
        <v>5</v>
      </c>
    </row>
    <row r="7" spans="1:6">
      <c r="A7" s="80" t="s">
        <v>73</v>
      </c>
      <c r="B7" s="80"/>
      <c r="C7" s="162">
        <f>20%*C8+C27*(1-C19)*(1-C8)</f>
        <v>0.13312000000000002</v>
      </c>
      <c r="D7" s="77" t="s">
        <v>172</v>
      </c>
    </row>
    <row r="8" spans="1:6">
      <c r="A8" s="80" t="s">
        <v>171</v>
      </c>
      <c r="B8" s="80"/>
      <c r="C8" s="83">
        <v>0.2</v>
      </c>
    </row>
    <row r="9" spans="1:6">
      <c r="A9" s="80" t="s">
        <v>152</v>
      </c>
      <c r="B9" s="80"/>
      <c r="C9" s="84" t="s">
        <v>59</v>
      </c>
    </row>
    <row r="10" spans="1:6">
      <c r="A10" s="61" t="s">
        <v>153</v>
      </c>
    </row>
    <row r="11" spans="1:6">
      <c r="A11" s="80" t="s">
        <v>47</v>
      </c>
      <c r="B11" s="82" t="s">
        <v>42</v>
      </c>
      <c r="C11" s="83">
        <v>0.1</v>
      </c>
    </row>
    <row r="12" spans="1:6" hidden="1">
      <c r="A12" s="80" t="s">
        <v>52</v>
      </c>
      <c r="B12" s="82" t="s">
        <v>42</v>
      </c>
      <c r="C12" s="83"/>
    </row>
    <row r="13" spans="1:6">
      <c r="A13" s="80" t="s">
        <v>48</v>
      </c>
      <c r="B13" s="82" t="s">
        <v>42</v>
      </c>
      <c r="C13" s="83">
        <v>0.1</v>
      </c>
    </row>
    <row r="14" spans="1:6" hidden="1">
      <c r="A14" s="80" t="s">
        <v>50</v>
      </c>
      <c r="B14" s="82" t="s">
        <v>42</v>
      </c>
      <c r="C14" s="83"/>
    </row>
    <row r="15" spans="1:6">
      <c r="A15" s="80" t="s">
        <v>120</v>
      </c>
      <c r="B15" s="82" t="s">
        <v>59</v>
      </c>
      <c r="C15" s="85">
        <v>15.999000000000001</v>
      </c>
    </row>
    <row r="16" spans="1:6" hidden="1">
      <c r="A16" s="80" t="s">
        <v>2</v>
      </c>
      <c r="B16" s="82"/>
      <c r="C16" s="258">
        <v>1.4999999999999999E-2</v>
      </c>
    </row>
    <row r="17" spans="1:4" hidden="1">
      <c r="A17" s="80" t="s">
        <v>41</v>
      </c>
      <c r="B17" s="82" t="s">
        <v>42</v>
      </c>
      <c r="C17" s="83">
        <v>0</v>
      </c>
    </row>
    <row r="18" spans="1:4" hidden="1">
      <c r="A18" s="80" t="s">
        <v>60</v>
      </c>
      <c r="B18" s="80"/>
      <c r="C18" s="81">
        <v>1</v>
      </c>
    </row>
    <row r="19" spans="1:4">
      <c r="A19" s="80" t="s">
        <v>216</v>
      </c>
      <c r="B19" s="80"/>
      <c r="C19" s="83">
        <v>0.03</v>
      </c>
    </row>
    <row r="20" spans="1:4">
      <c r="A20" s="61" t="s">
        <v>159</v>
      </c>
    </row>
    <row r="21" spans="1:4">
      <c r="A21" s="80" t="s">
        <v>259</v>
      </c>
      <c r="B21" s="232" t="s">
        <v>260</v>
      </c>
      <c r="C21" s="147">
        <v>25</v>
      </c>
    </row>
    <row r="22" spans="1:4">
      <c r="A22" s="169" t="s">
        <v>261</v>
      </c>
      <c r="B22" s="232" t="s">
        <v>217</v>
      </c>
      <c r="C22" s="147">
        <v>2800</v>
      </c>
      <c r="D22" s="77" t="s">
        <v>271</v>
      </c>
    </row>
    <row r="23" spans="1:4">
      <c r="A23" s="80" t="s">
        <v>262</v>
      </c>
      <c r="B23" s="232" t="s">
        <v>263</v>
      </c>
      <c r="C23" s="147">
        <v>6</v>
      </c>
    </row>
    <row r="24" spans="1:4">
      <c r="A24" s="80" t="s">
        <v>218</v>
      </c>
      <c r="B24" s="232" t="s">
        <v>219</v>
      </c>
      <c r="C24" s="147">
        <v>4</v>
      </c>
    </row>
    <row r="25" spans="1:4">
      <c r="A25" s="80" t="s">
        <v>269</v>
      </c>
      <c r="B25" s="232" t="s">
        <v>270</v>
      </c>
      <c r="C25" s="147">
        <v>3000</v>
      </c>
    </row>
    <row r="26" spans="1:4">
      <c r="A26" s="61" t="s">
        <v>161</v>
      </c>
    </row>
    <row r="27" spans="1:4">
      <c r="A27" s="80" t="s">
        <v>57</v>
      </c>
      <c r="B27" s="82" t="s">
        <v>42</v>
      </c>
      <c r="C27" s="83">
        <v>0.12</v>
      </c>
    </row>
    <row r="28" spans="1:4">
      <c r="A28" s="80" t="s">
        <v>162</v>
      </c>
      <c r="B28" s="82" t="s">
        <v>163</v>
      </c>
      <c r="C28" s="259">
        <v>5</v>
      </c>
    </row>
    <row r="29" spans="1:4">
      <c r="A29" s="80" t="s">
        <v>164</v>
      </c>
      <c r="B29" s="82" t="s">
        <v>166</v>
      </c>
      <c r="C29" s="147">
        <v>3</v>
      </c>
    </row>
    <row r="30" spans="1:4">
      <c r="A30" s="80" t="s">
        <v>165</v>
      </c>
      <c r="B30" s="82" t="s">
        <v>166</v>
      </c>
      <c r="C30" s="147">
        <v>3</v>
      </c>
    </row>
  </sheetData>
  <mergeCells count="1">
    <mergeCell ref="A1:C1"/>
  </mergeCells>
  <phoneticPr fontId="3" type="noConversion"/>
  <pageMargins left="0.31" right="0.33" top="1" bottom="1" header="0.5" footer="0.5"/>
  <pageSetup paperSize="9" orientation="portrait" r:id="rId1"/>
  <headerFooter alignWithMargins="0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9"/>
  <sheetViews>
    <sheetView showGridLines="0" workbookViewId="0">
      <pane ySplit="4" topLeftCell="A5" activePane="bottomLeft" state="frozen"/>
      <selection activeCell="C8" sqref="C8"/>
      <selection pane="bottomLeft" activeCell="K4" sqref="K4"/>
    </sheetView>
  </sheetViews>
  <sheetFormatPr defaultColWidth="8.85546875" defaultRowHeight="12.75"/>
  <cols>
    <col min="1" max="1" width="29.7109375" style="77" customWidth="1"/>
    <col min="2" max="2" width="11.85546875" style="77" customWidth="1"/>
    <col min="3" max="3" width="18.42578125" style="77" customWidth="1"/>
    <col min="4" max="4" width="13.5703125" style="77" customWidth="1"/>
    <col min="5" max="6" width="8.85546875" style="77" customWidth="1"/>
    <col min="7" max="7" width="10.28515625" style="77" customWidth="1"/>
    <col min="8" max="16384" width="8.85546875" style="77"/>
  </cols>
  <sheetData>
    <row r="1" spans="1:11">
      <c r="A1" s="61" t="s">
        <v>266</v>
      </c>
    </row>
    <row r="2" spans="1:11">
      <c r="A2" s="61"/>
    </row>
    <row r="3" spans="1:11">
      <c r="C3" s="142"/>
      <c r="D3" s="142"/>
      <c r="E3" s="142"/>
      <c r="F3" s="142"/>
      <c r="G3" s="142"/>
    </row>
    <row r="4" spans="1:11">
      <c r="A4" s="231" t="s">
        <v>97</v>
      </c>
      <c r="B4" s="227"/>
      <c r="C4" s="227">
        <v>2012</v>
      </c>
      <c r="D4" s="227">
        <f t="shared" ref="D4:I4" si="0">C4+1</f>
        <v>2013</v>
      </c>
      <c r="E4" s="227">
        <f t="shared" si="0"/>
        <v>2014</v>
      </c>
      <c r="F4" s="227">
        <f t="shared" si="0"/>
        <v>2015</v>
      </c>
      <c r="G4" s="227">
        <f t="shared" si="0"/>
        <v>2016</v>
      </c>
      <c r="H4" s="227">
        <f t="shared" si="0"/>
        <v>2017</v>
      </c>
      <c r="I4" s="227">
        <f t="shared" si="0"/>
        <v>2018</v>
      </c>
      <c r="K4" s="262"/>
    </row>
    <row r="5" spans="1:11">
      <c r="A5" s="80" t="s">
        <v>240</v>
      </c>
      <c r="B5" s="148"/>
      <c r="C5" s="261">
        <v>0.65</v>
      </c>
      <c r="D5" s="261">
        <v>0.7</v>
      </c>
      <c r="E5" s="261">
        <v>0.75</v>
      </c>
      <c r="F5" s="261">
        <v>0.8</v>
      </c>
      <c r="G5" s="261">
        <v>0.85</v>
      </c>
      <c r="H5" s="261">
        <v>0.85</v>
      </c>
      <c r="I5" s="261">
        <v>0.85</v>
      </c>
    </row>
    <row r="6" spans="1:11">
      <c r="A6" s="80" t="s">
        <v>267</v>
      </c>
      <c r="B6" s="148">
        <f>Исх!$C$23*Исх!$C$21</f>
        <v>150</v>
      </c>
      <c r="C6" s="148">
        <f>$B$6*C5</f>
        <v>97.5</v>
      </c>
      <c r="D6" s="148">
        <f t="shared" ref="D6:I6" si="1">$B$6*D5</f>
        <v>105</v>
      </c>
      <c r="E6" s="148">
        <f t="shared" si="1"/>
        <v>112.5</v>
      </c>
      <c r="F6" s="148">
        <f t="shared" si="1"/>
        <v>120</v>
      </c>
      <c r="G6" s="148">
        <f t="shared" si="1"/>
        <v>127.5</v>
      </c>
      <c r="H6" s="148">
        <f t="shared" si="1"/>
        <v>127.5</v>
      </c>
      <c r="I6" s="148">
        <f t="shared" si="1"/>
        <v>127.5</v>
      </c>
    </row>
    <row r="7" spans="1:11">
      <c r="A7" s="80" t="s">
        <v>264</v>
      </c>
      <c r="B7" s="148"/>
      <c r="C7" s="148">
        <f>Исх!$C$22</f>
        <v>2800</v>
      </c>
      <c r="D7" s="148">
        <f>Исх!$C$22</f>
        <v>2800</v>
      </c>
      <c r="E7" s="148">
        <f>Исх!$C$22</f>
        <v>2800</v>
      </c>
      <c r="F7" s="148">
        <f>Исх!$C$22</f>
        <v>2800</v>
      </c>
      <c r="G7" s="148">
        <f>Исх!$C$22</f>
        <v>2800</v>
      </c>
      <c r="H7" s="148">
        <f>Исх!$C$22</f>
        <v>2800</v>
      </c>
      <c r="I7" s="148">
        <f>Исх!$C$22</f>
        <v>2800</v>
      </c>
    </row>
    <row r="8" spans="1:11">
      <c r="A8" s="80" t="s">
        <v>281</v>
      </c>
      <c r="B8" s="148"/>
      <c r="C8" s="148">
        <f>Исх!$C$24</f>
        <v>4</v>
      </c>
      <c r="D8" s="148">
        <f>Исх!$C$24</f>
        <v>4</v>
      </c>
      <c r="E8" s="148">
        <f>Исх!$C$24</f>
        <v>4</v>
      </c>
      <c r="F8" s="148">
        <f>Исх!$C$24</f>
        <v>4</v>
      </c>
      <c r="G8" s="148">
        <f>Исх!$C$24</f>
        <v>4</v>
      </c>
      <c r="H8" s="148">
        <f>Исх!$C$24</f>
        <v>4</v>
      </c>
      <c r="I8" s="148">
        <f>Исх!$C$24</f>
        <v>4</v>
      </c>
    </row>
    <row r="9" spans="1:11">
      <c r="A9" s="228" t="s">
        <v>265</v>
      </c>
      <c r="B9" s="230" t="s">
        <v>113</v>
      </c>
      <c r="C9" s="229">
        <f>C6*C7*C8/1000</f>
        <v>1092</v>
      </c>
      <c r="D9" s="229">
        <f t="shared" ref="D9:I9" si="2">D6*D7*D8/1000</f>
        <v>1176</v>
      </c>
      <c r="E9" s="229">
        <f t="shared" si="2"/>
        <v>1260</v>
      </c>
      <c r="F9" s="229">
        <f t="shared" si="2"/>
        <v>1344</v>
      </c>
      <c r="G9" s="229">
        <f t="shared" si="2"/>
        <v>1428</v>
      </c>
      <c r="H9" s="229">
        <f t="shared" si="2"/>
        <v>1428</v>
      </c>
      <c r="I9" s="229">
        <f t="shared" si="2"/>
        <v>1428</v>
      </c>
    </row>
  </sheetData>
  <phoneticPr fontId="3" type="noConversion"/>
  <pageMargins left="0.49" right="0.18" top="0.3" bottom="2.11" header="0.2" footer="0.3"/>
  <pageSetup paperSize="9" orientation="landscape" r:id="rId1"/>
  <headerFooter alignWithMargins="0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8.85546875" defaultRowHeight="12.75"/>
  <cols>
    <col min="1" max="1" width="37.85546875" style="77" customWidth="1"/>
    <col min="2" max="2" width="9.85546875" style="77" customWidth="1"/>
    <col min="3" max="3" width="10.7109375" style="77" customWidth="1"/>
    <col min="4" max="4" width="12.28515625" style="77" customWidth="1"/>
    <col min="5" max="8" width="10.7109375" style="77" customWidth="1"/>
    <col min="9" max="16384" width="8.85546875" style="77"/>
  </cols>
  <sheetData>
    <row r="1" spans="1:8">
      <c r="A1" s="61" t="s">
        <v>98</v>
      </c>
      <c r="B1" s="61"/>
      <c r="C1" s="61"/>
    </row>
    <row r="2" spans="1:8" ht="7.5" customHeight="1">
      <c r="A2" s="61"/>
      <c r="B2" s="61"/>
    </row>
    <row r="4" spans="1:8">
      <c r="A4" s="231" t="s">
        <v>107</v>
      </c>
      <c r="B4" s="227">
        <f>Дох!C4</f>
        <v>2012</v>
      </c>
      <c r="C4" s="227">
        <f>Дох!D4</f>
        <v>2013</v>
      </c>
      <c r="D4" s="227">
        <f>Дох!E4</f>
        <v>2014</v>
      </c>
      <c r="E4" s="227">
        <f>Дох!F4</f>
        <v>2015</v>
      </c>
      <c r="F4" s="227">
        <f>Дох!G4</f>
        <v>2016</v>
      </c>
      <c r="G4" s="227">
        <f>Дох!H4</f>
        <v>2017</v>
      </c>
      <c r="H4" s="227">
        <f>Дох!I4</f>
        <v>2018</v>
      </c>
    </row>
    <row r="5" spans="1:8">
      <c r="A5" s="228" t="s">
        <v>88</v>
      </c>
      <c r="B5" s="229">
        <f t="shared" ref="B5:H5" si="0">SUM(B6:B6)</f>
        <v>163.83509999999998</v>
      </c>
      <c r="C5" s="229">
        <f t="shared" si="0"/>
        <v>176.43779999999998</v>
      </c>
      <c r="D5" s="229">
        <f t="shared" si="0"/>
        <v>189.04049999999998</v>
      </c>
      <c r="E5" s="229">
        <f t="shared" si="0"/>
        <v>201.64319999999998</v>
      </c>
      <c r="F5" s="229">
        <f t="shared" si="0"/>
        <v>214.24589999999998</v>
      </c>
      <c r="G5" s="229">
        <f t="shared" si="0"/>
        <v>214.24589999999998</v>
      </c>
      <c r="H5" s="229">
        <f t="shared" si="0"/>
        <v>214.24589999999998</v>
      </c>
    </row>
    <row r="6" spans="1:8">
      <c r="A6" s="80" t="s">
        <v>221</v>
      </c>
      <c r="B6" s="148">
        <f>$B$17*Дох!C5</f>
        <v>163.83509999999998</v>
      </c>
      <c r="C6" s="148">
        <f>$B$17*Дох!D5</f>
        <v>176.43779999999998</v>
      </c>
      <c r="D6" s="148">
        <f>$B$17*Дох!E5</f>
        <v>189.04049999999998</v>
      </c>
      <c r="E6" s="148">
        <f>$B$17*Дох!F5</f>
        <v>201.64319999999998</v>
      </c>
      <c r="F6" s="148">
        <f>$B$17*Дох!G5</f>
        <v>214.24589999999998</v>
      </c>
      <c r="G6" s="148">
        <f>$B$17*Дох!H5</f>
        <v>214.24589999999998</v>
      </c>
      <c r="H6" s="148">
        <f>$B$17*Дох!I5</f>
        <v>214.24589999999998</v>
      </c>
    </row>
    <row r="8" spans="1:8">
      <c r="A8" s="255" t="s">
        <v>28</v>
      </c>
      <c r="B8" s="255" t="s">
        <v>8</v>
      </c>
    </row>
    <row r="9" spans="1:8">
      <c r="A9" s="80" t="s">
        <v>222</v>
      </c>
      <c r="B9" s="259">
        <v>15</v>
      </c>
      <c r="D9" s="150" t="s">
        <v>256</v>
      </c>
    </row>
    <row r="10" spans="1:8">
      <c r="A10" s="80" t="s">
        <v>223</v>
      </c>
      <c r="B10" s="173">
        <f>B9*1.1</f>
        <v>16.5</v>
      </c>
      <c r="D10" s="150" t="s">
        <v>224</v>
      </c>
    </row>
    <row r="11" spans="1:8">
      <c r="A11" s="80" t="s">
        <v>225</v>
      </c>
      <c r="B11" s="173">
        <f>B10*10%</f>
        <v>1.6500000000000001</v>
      </c>
      <c r="D11" s="150" t="s">
        <v>226</v>
      </c>
    </row>
    <row r="12" spans="1:8">
      <c r="A12" s="80" t="s">
        <v>227</v>
      </c>
      <c r="B12" s="147">
        <f>(139*0.4+90*0.6)</f>
        <v>109.6</v>
      </c>
      <c r="D12" s="150" t="s">
        <v>229</v>
      </c>
    </row>
    <row r="13" spans="1:8">
      <c r="A13" s="80" t="s">
        <v>228</v>
      </c>
      <c r="B13" s="259">
        <v>177</v>
      </c>
      <c r="D13" s="150" t="s">
        <v>229</v>
      </c>
    </row>
    <row r="14" spans="1:8">
      <c r="A14" s="80" t="s">
        <v>268</v>
      </c>
      <c r="B14" s="148">
        <f>Исх!C25</f>
        <v>3000</v>
      </c>
      <c r="D14" s="150"/>
    </row>
    <row r="15" spans="1:8">
      <c r="A15" s="80" t="s">
        <v>230</v>
      </c>
      <c r="B15" s="156">
        <f>B14/100*('Расх перем'!B10*'Расх перем'!B12+'Расх перем'!B11*'Расх перем'!B13)/1000</f>
        <v>63.013499999999993</v>
      </c>
    </row>
    <row r="16" spans="1:8">
      <c r="A16" s="80" t="s">
        <v>220</v>
      </c>
      <c r="B16" s="156">
        <f>Исх!$C$24</f>
        <v>4</v>
      </c>
    </row>
    <row r="17" spans="1:11" s="150" customFormat="1">
      <c r="A17" s="80" t="s">
        <v>231</v>
      </c>
      <c r="B17" s="156">
        <f>B15*B16</f>
        <v>252.05399999999997</v>
      </c>
      <c r="C17" s="77"/>
      <c r="D17" s="77"/>
    </row>
    <row r="18" spans="1:11" s="150" customForma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</row>
  </sheetData>
  <phoneticPr fontId="3" type="noConversion"/>
  <pageMargins left="0.34" right="0.43" top="0.45" bottom="0.38" header="0.2" footer="0.3"/>
  <pageSetup paperSize="9" orientation="landscape" r:id="rId1"/>
  <headerFooter alignWithMargins="0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31"/>
  <sheetViews>
    <sheetView showGridLines="0" workbookViewId="0">
      <pane xSplit="1" ySplit="4" topLeftCell="B5" activePane="bottomRight" state="frozen"/>
      <selection activeCell="A34" sqref="A34"/>
      <selection pane="topRight" activeCell="A34" sqref="A34"/>
      <selection pane="bottomLeft" activeCell="A34" sqref="A34"/>
      <selection pane="bottomRight" activeCell="C36" sqref="C36"/>
    </sheetView>
  </sheetViews>
  <sheetFormatPr defaultRowHeight="12.75"/>
  <cols>
    <col min="1" max="1" width="5.5703125" style="77" customWidth="1"/>
    <col min="2" max="2" width="33.42578125" style="77" customWidth="1"/>
    <col min="3" max="3" width="10" style="77" customWidth="1"/>
    <col min="4" max="4" width="11.5703125" style="77" customWidth="1"/>
    <col min="5" max="5" width="12.7109375" style="77" customWidth="1"/>
    <col min="6" max="9" width="11.5703125" style="77" hidden="1" customWidth="1"/>
    <col min="10" max="10" width="10.140625" style="77" customWidth="1"/>
    <col min="11" max="11" width="12" style="77" customWidth="1"/>
    <col min="12" max="16384" width="9.140625" style="77"/>
  </cols>
  <sheetData>
    <row r="1" spans="1:11" ht="5.25" customHeight="1"/>
    <row r="2" spans="1:11" ht="16.5" customHeight="1">
      <c r="A2" s="61" t="s">
        <v>154</v>
      </c>
      <c r="D2" s="168"/>
      <c r="F2" s="168"/>
      <c r="G2" s="168"/>
      <c r="H2" s="168"/>
      <c r="I2" s="168"/>
      <c r="J2" s="168"/>
      <c r="K2" s="226" t="str">
        <f>Исх!C9</f>
        <v>тыс.тг.</v>
      </c>
    </row>
    <row r="3" spans="1:11" ht="8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42.6" customHeight="1">
      <c r="A4" s="152" t="s">
        <v>36</v>
      </c>
      <c r="B4" s="153" t="s">
        <v>37</v>
      </c>
      <c r="C4" s="233" t="s">
        <v>38</v>
      </c>
      <c r="D4" s="154" t="s">
        <v>95</v>
      </c>
      <c r="E4" s="154" t="s">
        <v>96</v>
      </c>
      <c r="F4" s="154" t="s">
        <v>47</v>
      </c>
      <c r="G4" s="154" t="s">
        <v>48</v>
      </c>
      <c r="H4" s="154" t="s">
        <v>49</v>
      </c>
      <c r="I4" s="154" t="s">
        <v>50</v>
      </c>
      <c r="J4" s="154" t="s">
        <v>51</v>
      </c>
      <c r="K4" s="154" t="s">
        <v>44</v>
      </c>
    </row>
    <row r="5" spans="1:11" s="61" customFormat="1">
      <c r="A5" s="145"/>
      <c r="B5" s="155" t="s">
        <v>94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1:11">
      <c r="A6" s="80">
        <v>1</v>
      </c>
      <c r="B6" s="80" t="s">
        <v>121</v>
      </c>
      <c r="C6" s="80">
        <v>1</v>
      </c>
      <c r="D6" s="147">
        <v>120</v>
      </c>
      <c r="E6" s="156">
        <f>C6*D6</f>
        <v>120</v>
      </c>
      <c r="F6" s="156">
        <f>E6*$C$26</f>
        <v>12</v>
      </c>
      <c r="G6" s="156">
        <f>(E6-$C$30-F6)*$C$28</f>
        <v>9.2001000000000008</v>
      </c>
      <c r="H6" s="156">
        <f>(E6-F6)*$C$27</f>
        <v>0</v>
      </c>
      <c r="I6" s="156">
        <f>(E6-F6)*$C$29-H6</f>
        <v>0</v>
      </c>
      <c r="J6" s="156">
        <f>E6-F6-G6</f>
        <v>98.799899999999994</v>
      </c>
      <c r="K6" s="157">
        <f>SUM(F6:J6)</f>
        <v>120</v>
      </c>
    </row>
    <row r="7" spans="1:11">
      <c r="A7" s="80">
        <v>2</v>
      </c>
      <c r="B7" s="80" t="s">
        <v>232</v>
      </c>
      <c r="C7" s="80">
        <v>0.5</v>
      </c>
      <c r="D7" s="147">
        <v>50</v>
      </c>
      <c r="E7" s="156">
        <f>C7*D7</f>
        <v>25</v>
      </c>
      <c r="F7" s="156">
        <f>E7*$C$26</f>
        <v>2.5</v>
      </c>
      <c r="G7" s="156">
        <f>(E7-$C$30-F7)*$C$28</f>
        <v>0.65010000000000001</v>
      </c>
      <c r="H7" s="156">
        <f>(E7-F7)*$C$27</f>
        <v>0</v>
      </c>
      <c r="I7" s="156">
        <f>(E7-F7)*$C$29-H7</f>
        <v>0</v>
      </c>
      <c r="J7" s="156">
        <f>E7-F7-G7</f>
        <v>21.849900000000002</v>
      </c>
      <c r="K7" s="157">
        <f>SUM(F7:J7)</f>
        <v>25</v>
      </c>
    </row>
    <row r="8" spans="1:11" s="61" customFormat="1">
      <c r="A8" s="158"/>
      <c r="B8" s="158" t="s">
        <v>0</v>
      </c>
      <c r="C8" s="31">
        <f t="shared" ref="C8:K8" si="0">SUM(C6:C7)</f>
        <v>1.5</v>
      </c>
      <c r="D8" s="31">
        <f t="shared" si="0"/>
        <v>170</v>
      </c>
      <c r="E8" s="31">
        <f t="shared" si="0"/>
        <v>145</v>
      </c>
      <c r="F8" s="31">
        <f t="shared" si="0"/>
        <v>14.5</v>
      </c>
      <c r="G8" s="31">
        <f t="shared" si="0"/>
        <v>9.850200000000001</v>
      </c>
      <c r="H8" s="31">
        <f t="shared" si="0"/>
        <v>0</v>
      </c>
      <c r="I8" s="31">
        <f t="shared" si="0"/>
        <v>0</v>
      </c>
      <c r="J8" s="31">
        <f t="shared" si="0"/>
        <v>120.6498</v>
      </c>
      <c r="K8" s="31">
        <f t="shared" si="0"/>
        <v>145</v>
      </c>
    </row>
    <row r="9" spans="1:11" s="61" customFormat="1">
      <c r="A9" s="145"/>
      <c r="B9" s="145" t="s">
        <v>103</v>
      </c>
      <c r="C9" s="145"/>
      <c r="D9" s="146"/>
      <c r="E9" s="146"/>
      <c r="F9" s="146"/>
      <c r="G9" s="146"/>
      <c r="H9" s="146"/>
      <c r="I9" s="146"/>
      <c r="J9" s="146"/>
      <c r="K9" s="146"/>
    </row>
    <row r="10" spans="1:11">
      <c r="A10" s="80">
        <v>1</v>
      </c>
      <c r="B10" s="80" t="s">
        <v>214</v>
      </c>
      <c r="C10" s="80">
        <f>Исх!C24*1</f>
        <v>4</v>
      </c>
      <c r="D10" s="147">
        <v>100</v>
      </c>
      <c r="E10" s="156">
        <f>C10*D10</f>
        <v>400</v>
      </c>
      <c r="F10" s="156">
        <f>E10*$C$26</f>
        <v>40</v>
      </c>
      <c r="G10" s="156">
        <f>(E10-$C$30-F10)*$C$28</f>
        <v>34.400100000000002</v>
      </c>
      <c r="H10" s="156">
        <f>(E10-F10)*$C$27</f>
        <v>0</v>
      </c>
      <c r="I10" s="156">
        <f>(E10-F10)*$C$29-H10</f>
        <v>0</v>
      </c>
      <c r="J10" s="156">
        <f>E10-F10-G10</f>
        <v>325.59989999999999</v>
      </c>
      <c r="K10" s="157">
        <f>SUM(F10:J10)</f>
        <v>400</v>
      </c>
    </row>
    <row r="11" spans="1:11" hidden="1">
      <c r="A11" s="80"/>
      <c r="B11" s="80"/>
      <c r="C11" s="80"/>
      <c r="D11" s="147"/>
      <c r="E11" s="156">
        <f>C11*D11</f>
        <v>0</v>
      </c>
      <c r="F11" s="156">
        <f>E11*$C$26</f>
        <v>0</v>
      </c>
      <c r="G11" s="156">
        <f>(E11-$C$30-F11)*$C$28</f>
        <v>-1.5999000000000001</v>
      </c>
      <c r="H11" s="156">
        <f>(E11-F11)*$C$27</f>
        <v>0</v>
      </c>
      <c r="I11" s="156">
        <f>(E11-F11)*$C$29-H11</f>
        <v>0</v>
      </c>
      <c r="J11" s="156">
        <f>E11-F11-G11</f>
        <v>1.5999000000000001</v>
      </c>
      <c r="K11" s="157">
        <f>SUM(F11:J11)</f>
        <v>0</v>
      </c>
    </row>
    <row r="12" spans="1:11" s="61" customFormat="1">
      <c r="A12" s="158"/>
      <c r="B12" s="159" t="s">
        <v>0</v>
      </c>
      <c r="C12" s="158">
        <f t="shared" ref="C12:K12" si="1">SUM(C9:C11)</f>
        <v>4</v>
      </c>
      <c r="D12" s="157">
        <f t="shared" si="1"/>
        <v>100</v>
      </c>
      <c r="E12" s="157">
        <f t="shared" si="1"/>
        <v>400</v>
      </c>
      <c r="F12" s="157">
        <f t="shared" si="1"/>
        <v>40</v>
      </c>
      <c r="G12" s="157">
        <f t="shared" si="1"/>
        <v>32.800200000000004</v>
      </c>
      <c r="H12" s="157">
        <f t="shared" si="1"/>
        <v>0</v>
      </c>
      <c r="I12" s="157">
        <f t="shared" si="1"/>
        <v>0</v>
      </c>
      <c r="J12" s="157">
        <f t="shared" si="1"/>
        <v>327.19979999999998</v>
      </c>
      <c r="K12" s="157">
        <f t="shared" si="1"/>
        <v>400</v>
      </c>
    </row>
    <row r="13" spans="1:11" s="61" customFormat="1" hidden="1">
      <c r="A13" s="145"/>
      <c r="B13" s="145" t="s">
        <v>104</v>
      </c>
      <c r="C13" s="145"/>
      <c r="D13" s="146"/>
      <c r="E13" s="146"/>
      <c r="F13" s="146"/>
      <c r="G13" s="146"/>
      <c r="H13" s="146"/>
      <c r="I13" s="146"/>
      <c r="J13" s="146"/>
      <c r="K13" s="146"/>
    </row>
    <row r="14" spans="1:11" hidden="1">
      <c r="A14" s="80"/>
      <c r="B14" s="80"/>
      <c r="C14" s="80"/>
      <c r="D14" s="147"/>
      <c r="E14" s="156">
        <f>C14*D14</f>
        <v>0</v>
      </c>
      <c r="F14" s="156">
        <f>E14*$C$26</f>
        <v>0</v>
      </c>
      <c r="G14" s="156">
        <f>(E14-$C$30-F14)*$C$28</f>
        <v>-1.5999000000000001</v>
      </c>
      <c r="H14" s="156">
        <f>(E14-F14)*$C$27</f>
        <v>0</v>
      </c>
      <c r="I14" s="156">
        <f>(E14-F14)*$C$29-H14</f>
        <v>0</v>
      </c>
      <c r="J14" s="156">
        <f>E14-F14-G14</f>
        <v>1.5999000000000001</v>
      </c>
      <c r="K14" s="157">
        <f>SUM(F14:J14)</f>
        <v>0</v>
      </c>
    </row>
    <row r="15" spans="1:11" hidden="1">
      <c r="A15" s="80"/>
      <c r="B15" s="80"/>
      <c r="C15" s="80"/>
      <c r="D15" s="147"/>
      <c r="E15" s="156">
        <f>C15*D15</f>
        <v>0</v>
      </c>
      <c r="F15" s="156">
        <f>E15*$C$26</f>
        <v>0</v>
      </c>
      <c r="G15" s="156">
        <f>(E15-$C$30-F15)*$C$28</f>
        <v>-1.5999000000000001</v>
      </c>
      <c r="H15" s="156">
        <f>(E15-F15)*$C$27</f>
        <v>0</v>
      </c>
      <c r="I15" s="156">
        <f>(E15-F15)*$C$29-H15</f>
        <v>0</v>
      </c>
      <c r="J15" s="156">
        <f>E15-F15-G15</f>
        <v>1.5999000000000001</v>
      </c>
      <c r="K15" s="157">
        <f>SUM(F15:J15)</f>
        <v>0</v>
      </c>
    </row>
    <row r="16" spans="1:11" s="61" customFormat="1" hidden="1">
      <c r="A16" s="158"/>
      <c r="B16" s="159" t="s">
        <v>0</v>
      </c>
      <c r="C16" s="158">
        <f t="shared" ref="C16:K16" si="2">SUM(C14:C15)</f>
        <v>0</v>
      </c>
      <c r="D16" s="157">
        <f t="shared" si="2"/>
        <v>0</v>
      </c>
      <c r="E16" s="157">
        <f t="shared" si="2"/>
        <v>0</v>
      </c>
      <c r="F16" s="157">
        <f t="shared" si="2"/>
        <v>0</v>
      </c>
      <c r="G16" s="157">
        <f t="shared" si="2"/>
        <v>-3.1998000000000002</v>
      </c>
      <c r="H16" s="157">
        <f t="shared" si="2"/>
        <v>0</v>
      </c>
      <c r="I16" s="157">
        <f t="shared" si="2"/>
        <v>0</v>
      </c>
      <c r="J16" s="157">
        <f t="shared" si="2"/>
        <v>3.1998000000000002</v>
      </c>
      <c r="K16" s="157">
        <f t="shared" si="2"/>
        <v>0</v>
      </c>
    </row>
    <row r="17" spans="1:13" s="61" customFormat="1" hidden="1">
      <c r="A17" s="145"/>
      <c r="B17" s="145" t="s">
        <v>114</v>
      </c>
      <c r="C17" s="145"/>
      <c r="D17" s="146"/>
      <c r="E17" s="146"/>
      <c r="F17" s="146"/>
      <c r="G17" s="146"/>
      <c r="H17" s="146"/>
      <c r="I17" s="146"/>
      <c r="J17" s="146"/>
      <c r="K17" s="146"/>
    </row>
    <row r="18" spans="1:13" hidden="1">
      <c r="A18" s="80"/>
      <c r="B18" s="80"/>
      <c r="C18" s="80"/>
      <c r="D18" s="147"/>
      <c r="E18" s="156">
        <f>C18*D18</f>
        <v>0</v>
      </c>
      <c r="F18" s="156">
        <f>E18*$C$26</f>
        <v>0</v>
      </c>
      <c r="G18" s="156">
        <f>(E18-$C$30-F18)*$C$28</f>
        <v>-1.5999000000000001</v>
      </c>
      <c r="H18" s="156">
        <f>(E18-F18)*$C$27</f>
        <v>0</v>
      </c>
      <c r="I18" s="156">
        <f>(E18-F18)*$C$29-H18</f>
        <v>0</v>
      </c>
      <c r="J18" s="156">
        <f>E18-F18-G18</f>
        <v>1.5999000000000001</v>
      </c>
      <c r="K18" s="157">
        <f>SUM(F18:J18)</f>
        <v>0</v>
      </c>
      <c r="M18" s="160"/>
    </row>
    <row r="19" spans="1:13" hidden="1">
      <c r="A19" s="80"/>
      <c r="B19" s="80"/>
      <c r="C19" s="80"/>
      <c r="D19" s="147"/>
      <c r="E19" s="156">
        <f>C19*D19</f>
        <v>0</v>
      </c>
      <c r="F19" s="156">
        <f>E19*$C$26</f>
        <v>0</v>
      </c>
      <c r="G19" s="156">
        <f>(E19-$C$30-F19)*$C$28</f>
        <v>-1.5999000000000001</v>
      </c>
      <c r="H19" s="156">
        <f>(E19-F19)*$C$27</f>
        <v>0</v>
      </c>
      <c r="I19" s="156">
        <f>(E19-F19)*$C$29-H19</f>
        <v>0</v>
      </c>
      <c r="J19" s="156">
        <f>E19-F19-G19</f>
        <v>1.5999000000000001</v>
      </c>
      <c r="K19" s="157">
        <f>SUM(F19:J19)</f>
        <v>0</v>
      </c>
      <c r="M19" s="160"/>
    </row>
    <row r="20" spans="1:13" hidden="1">
      <c r="A20" s="80"/>
      <c r="B20" s="80"/>
      <c r="C20" s="80"/>
      <c r="D20" s="147"/>
      <c r="E20" s="156">
        <f>C20*D20</f>
        <v>0</v>
      </c>
      <c r="F20" s="156">
        <f>E20*$C$26</f>
        <v>0</v>
      </c>
      <c r="G20" s="156">
        <f>(E20-$C$30-F20)*$C$28</f>
        <v>-1.5999000000000001</v>
      </c>
      <c r="H20" s="156">
        <f>(E20-F20)*$C$27</f>
        <v>0</v>
      </c>
      <c r="I20" s="156">
        <f>(E20-F20)*$C$29-H20</f>
        <v>0</v>
      </c>
      <c r="J20" s="156">
        <f>E20-F20-G20</f>
        <v>1.5999000000000001</v>
      </c>
      <c r="K20" s="157">
        <f>SUM(F20:J20)</f>
        <v>0</v>
      </c>
      <c r="M20" s="160"/>
    </row>
    <row r="21" spans="1:13" hidden="1">
      <c r="A21" s="80"/>
      <c r="B21" s="80"/>
      <c r="C21" s="80"/>
      <c r="D21" s="147"/>
      <c r="E21" s="156">
        <f>C21*D21</f>
        <v>0</v>
      </c>
      <c r="F21" s="156">
        <f>E21*$C$26</f>
        <v>0</v>
      </c>
      <c r="G21" s="156">
        <f>(E21-$C$30-F21)*$C$28</f>
        <v>-1.5999000000000001</v>
      </c>
      <c r="H21" s="156">
        <f>(E21-F21)*$C$27</f>
        <v>0</v>
      </c>
      <c r="I21" s="156">
        <f>(E21-F21)*$C$29-H21</f>
        <v>0</v>
      </c>
      <c r="J21" s="156">
        <f>E21-F21-G21</f>
        <v>1.5999000000000001</v>
      </c>
      <c r="K21" s="157">
        <f>SUM(F21:J21)</f>
        <v>0</v>
      </c>
    </row>
    <row r="22" spans="1:13" s="61" customFormat="1" hidden="1">
      <c r="A22" s="158"/>
      <c r="B22" s="159" t="s">
        <v>0</v>
      </c>
      <c r="C22" s="158">
        <f t="shared" ref="C22:K22" si="3">SUM(C18:C21)</f>
        <v>0</v>
      </c>
      <c r="D22" s="157">
        <f t="shared" si="3"/>
        <v>0</v>
      </c>
      <c r="E22" s="157">
        <f t="shared" si="3"/>
        <v>0</v>
      </c>
      <c r="F22" s="157">
        <f t="shared" si="3"/>
        <v>0</v>
      </c>
      <c r="G22" s="157">
        <f t="shared" si="3"/>
        <v>-6.3996000000000004</v>
      </c>
      <c r="H22" s="157">
        <f t="shared" si="3"/>
        <v>0</v>
      </c>
      <c r="I22" s="157">
        <f t="shared" si="3"/>
        <v>0</v>
      </c>
      <c r="J22" s="157">
        <f t="shared" si="3"/>
        <v>6.3996000000000004</v>
      </c>
      <c r="K22" s="157">
        <f t="shared" si="3"/>
        <v>0</v>
      </c>
    </row>
    <row r="23" spans="1:13">
      <c r="A23" s="80"/>
      <c r="B23" s="80"/>
      <c r="C23" s="80"/>
      <c r="D23" s="156"/>
      <c r="E23" s="156"/>
      <c r="F23" s="156"/>
      <c r="G23" s="156"/>
      <c r="H23" s="156"/>
      <c r="I23" s="156"/>
      <c r="J23" s="156"/>
      <c r="K23" s="156"/>
    </row>
    <row r="24" spans="1:13" s="61" customFormat="1">
      <c r="A24" s="158"/>
      <c r="B24" s="158" t="s">
        <v>115</v>
      </c>
      <c r="C24" s="157">
        <f t="shared" ref="C24:K24" si="4">C8+C12+C16+C22</f>
        <v>5.5</v>
      </c>
      <c r="D24" s="157">
        <f t="shared" si="4"/>
        <v>270</v>
      </c>
      <c r="E24" s="157">
        <f t="shared" si="4"/>
        <v>545</v>
      </c>
      <c r="F24" s="157">
        <f t="shared" si="4"/>
        <v>54.5</v>
      </c>
      <c r="G24" s="157">
        <f t="shared" si="4"/>
        <v>33.051000000000002</v>
      </c>
      <c r="H24" s="157">
        <f t="shared" si="4"/>
        <v>0</v>
      </c>
      <c r="I24" s="157">
        <f t="shared" si="4"/>
        <v>0</v>
      </c>
      <c r="J24" s="157">
        <f t="shared" si="4"/>
        <v>457.44900000000001</v>
      </c>
      <c r="K24" s="161">
        <f t="shared" si="4"/>
        <v>545</v>
      </c>
    </row>
    <row r="26" spans="1:13" hidden="1">
      <c r="B26" s="80" t="s">
        <v>47</v>
      </c>
      <c r="C26" s="162">
        <f>Исх!C11</f>
        <v>0.1</v>
      </c>
      <c r="D26" s="163"/>
      <c r="E26" s="163"/>
      <c r="F26" s="163"/>
      <c r="G26" s="283"/>
      <c r="H26" s="283"/>
      <c r="I26" s="283"/>
      <c r="J26" s="283"/>
    </row>
    <row r="27" spans="1:13" hidden="1">
      <c r="B27" s="80" t="s">
        <v>52</v>
      </c>
      <c r="C27" s="162">
        <f>Исх!C12</f>
        <v>0</v>
      </c>
      <c r="D27" s="163"/>
      <c r="E27" s="163"/>
      <c r="F27" s="163"/>
      <c r="G27" s="163"/>
      <c r="H27" s="163"/>
      <c r="I27" s="164"/>
      <c r="J27" s="165"/>
    </row>
    <row r="28" spans="1:13" hidden="1">
      <c r="B28" s="80" t="s">
        <v>48</v>
      </c>
      <c r="C28" s="162">
        <f>Исх!C13</f>
        <v>0.1</v>
      </c>
      <c r="D28" s="163"/>
      <c r="E28" s="163"/>
      <c r="F28" s="163"/>
      <c r="G28" s="163"/>
      <c r="H28" s="163"/>
      <c r="I28" s="164"/>
      <c r="J28" s="165"/>
    </row>
    <row r="29" spans="1:13" hidden="1">
      <c r="B29" s="80" t="s">
        <v>50</v>
      </c>
      <c r="C29" s="162">
        <f>Исх!C14</f>
        <v>0</v>
      </c>
      <c r="D29" s="166"/>
      <c r="E29" s="166"/>
      <c r="F29" s="163"/>
      <c r="G29" s="163"/>
      <c r="H29" s="163"/>
      <c r="I29" s="164"/>
      <c r="J29" s="165"/>
    </row>
    <row r="30" spans="1:13" hidden="1">
      <c r="B30" s="80" t="s">
        <v>120</v>
      </c>
      <c r="C30" s="167">
        <f>Исх!C15</f>
        <v>15.999000000000001</v>
      </c>
    </row>
    <row r="31" spans="1:13">
      <c r="G31" s="163"/>
      <c r="H31" s="163"/>
      <c r="I31" s="164"/>
      <c r="J31" s="165"/>
    </row>
  </sheetData>
  <mergeCells count="1">
    <mergeCell ref="G26:J26"/>
  </mergeCells>
  <pageMargins left="0.27559055118110237" right="0.27559055118110237" top="0.35433070866141736" bottom="0.35433070866141736" header="0.23622047244094491" footer="0.27559055118110237"/>
  <pageSetup paperSize="9" orientation="landscape" r:id="rId1"/>
  <headerFooter alignWithMargins="0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44"/>
  <sheetViews>
    <sheetView showGridLines="0" workbookViewId="0">
      <pane ySplit="5" topLeftCell="A6" activePane="bottomLeft" state="frozen"/>
      <selection activeCell="A34" sqref="A34"/>
      <selection pane="bottomLeft" activeCell="J16" sqref="J16"/>
    </sheetView>
  </sheetViews>
  <sheetFormatPr defaultColWidth="8.85546875" defaultRowHeight="12.75" outlineLevelRow="1"/>
  <cols>
    <col min="1" max="1" width="33.5703125" style="77" customWidth="1"/>
    <col min="2" max="2" width="10.140625" style="77" customWidth="1"/>
    <col min="3" max="3" width="12.28515625" style="77" customWidth="1"/>
    <col min="4" max="9" width="7.7109375" style="77" customWidth="1"/>
    <col min="10" max="10" width="26.140625" style="77" customWidth="1"/>
    <col min="11" max="16384" width="8.85546875" style="77"/>
  </cols>
  <sheetData>
    <row r="1" spans="1:11">
      <c r="A1" s="61" t="s">
        <v>158</v>
      </c>
    </row>
    <row r="2" spans="1:11">
      <c r="A2" s="61"/>
    </row>
    <row r="3" spans="1:1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>
      <c r="C4" s="142"/>
      <c r="D4" s="142"/>
      <c r="E4" s="142"/>
      <c r="F4" s="142"/>
      <c r="G4" s="142"/>
      <c r="H4" s="142"/>
      <c r="I4" s="149" t="str">
        <f>Исх!C9</f>
        <v>тыс.тг.</v>
      </c>
    </row>
    <row r="5" spans="1:11">
      <c r="A5" s="228" t="s">
        <v>43</v>
      </c>
      <c r="B5" s="254"/>
      <c r="C5" s="254">
        <v>2012</v>
      </c>
      <c r="D5" s="254">
        <v>2013</v>
      </c>
      <c r="E5" s="254">
        <f>D5+1</f>
        <v>2014</v>
      </c>
      <c r="F5" s="254">
        <f>E5+1</f>
        <v>2015</v>
      </c>
      <c r="G5" s="254">
        <f>F5+1</f>
        <v>2016</v>
      </c>
      <c r="H5" s="254">
        <f>G5+1</f>
        <v>2017</v>
      </c>
      <c r="I5" s="254">
        <f>H5+1</f>
        <v>2018</v>
      </c>
      <c r="K5" s="262"/>
    </row>
    <row r="6" spans="1:11">
      <c r="A6" s="80" t="s">
        <v>44</v>
      </c>
      <c r="B6" s="148"/>
      <c r="C6" s="156">
        <f>ФОТ!K24</f>
        <v>545</v>
      </c>
      <c r="D6" s="156">
        <f t="shared" ref="D6:I6" si="0">C6</f>
        <v>545</v>
      </c>
      <c r="E6" s="156">
        <f t="shared" si="0"/>
        <v>545</v>
      </c>
      <c r="F6" s="156">
        <f t="shared" si="0"/>
        <v>545</v>
      </c>
      <c r="G6" s="156">
        <f t="shared" si="0"/>
        <v>545</v>
      </c>
      <c r="H6" s="156">
        <f t="shared" si="0"/>
        <v>545</v>
      </c>
      <c r="I6" s="156">
        <f t="shared" si="0"/>
        <v>545</v>
      </c>
    </row>
    <row r="7" spans="1:11">
      <c r="A7" s="169" t="s">
        <v>233</v>
      </c>
      <c r="B7" s="251" t="s">
        <v>236</v>
      </c>
      <c r="C7" s="147">
        <v>5</v>
      </c>
      <c r="D7" s="156">
        <f t="shared" ref="D7:I7" si="1">C7+C7*$D$3</f>
        <v>5</v>
      </c>
      <c r="E7" s="156">
        <f t="shared" si="1"/>
        <v>5</v>
      </c>
      <c r="F7" s="156">
        <f t="shared" si="1"/>
        <v>5</v>
      </c>
      <c r="G7" s="156">
        <f t="shared" si="1"/>
        <v>5</v>
      </c>
      <c r="H7" s="156">
        <f t="shared" si="1"/>
        <v>5</v>
      </c>
      <c r="I7" s="156">
        <f t="shared" si="1"/>
        <v>5</v>
      </c>
    </row>
    <row r="8" spans="1:11">
      <c r="A8" s="169" t="s">
        <v>283</v>
      </c>
      <c r="B8" s="251" t="s">
        <v>236</v>
      </c>
      <c r="C8" s="147">
        <v>15</v>
      </c>
      <c r="D8" s="156">
        <f t="shared" ref="D8:I14" si="2">C8+C8*$D$3</f>
        <v>15</v>
      </c>
      <c r="E8" s="156">
        <f t="shared" si="2"/>
        <v>15</v>
      </c>
      <c r="F8" s="156">
        <f t="shared" si="2"/>
        <v>15</v>
      </c>
      <c r="G8" s="156">
        <f t="shared" si="2"/>
        <v>15</v>
      </c>
      <c r="H8" s="156">
        <f t="shared" si="2"/>
        <v>15</v>
      </c>
      <c r="I8" s="156">
        <f t="shared" si="2"/>
        <v>15</v>
      </c>
    </row>
    <row r="9" spans="1:11">
      <c r="A9" s="169" t="s">
        <v>45</v>
      </c>
      <c r="B9" s="251" t="s">
        <v>236</v>
      </c>
      <c r="C9" s="147">
        <v>5</v>
      </c>
      <c r="D9" s="156">
        <f t="shared" ref="D9:I9" si="3">C9+C9*$D$3</f>
        <v>5</v>
      </c>
      <c r="E9" s="156">
        <f t="shared" si="3"/>
        <v>5</v>
      </c>
      <c r="F9" s="156">
        <f t="shared" si="3"/>
        <v>5</v>
      </c>
      <c r="G9" s="156">
        <f t="shared" si="3"/>
        <v>5</v>
      </c>
      <c r="H9" s="156">
        <f t="shared" si="3"/>
        <v>5</v>
      </c>
      <c r="I9" s="156">
        <f t="shared" si="3"/>
        <v>5</v>
      </c>
    </row>
    <row r="10" spans="1:11">
      <c r="A10" s="169" t="s">
        <v>234</v>
      </c>
      <c r="B10" s="251" t="s">
        <v>236</v>
      </c>
      <c r="C10" s="147">
        <v>7</v>
      </c>
      <c r="D10" s="156">
        <f t="shared" si="2"/>
        <v>7</v>
      </c>
      <c r="E10" s="156">
        <f t="shared" si="2"/>
        <v>7</v>
      </c>
      <c r="F10" s="156">
        <f t="shared" si="2"/>
        <v>7</v>
      </c>
      <c r="G10" s="156">
        <f t="shared" si="2"/>
        <v>7</v>
      </c>
      <c r="H10" s="156">
        <f t="shared" si="2"/>
        <v>7</v>
      </c>
      <c r="I10" s="156">
        <f t="shared" si="2"/>
        <v>7</v>
      </c>
    </row>
    <row r="11" spans="1:11">
      <c r="A11" s="169" t="s">
        <v>235</v>
      </c>
      <c r="B11" s="251" t="s">
        <v>236</v>
      </c>
      <c r="C11" s="147">
        <v>35</v>
      </c>
      <c r="D11" s="156">
        <f t="shared" ref="D11:I11" si="4">C11+C11*$D$3</f>
        <v>35</v>
      </c>
      <c r="E11" s="156">
        <f t="shared" si="4"/>
        <v>35</v>
      </c>
      <c r="F11" s="156">
        <f t="shared" si="4"/>
        <v>35</v>
      </c>
      <c r="G11" s="156">
        <f t="shared" si="4"/>
        <v>35</v>
      </c>
      <c r="H11" s="156">
        <f t="shared" si="4"/>
        <v>35</v>
      </c>
      <c r="I11" s="156">
        <f t="shared" si="4"/>
        <v>35</v>
      </c>
    </row>
    <row r="12" spans="1:11">
      <c r="A12" s="169" t="s">
        <v>237</v>
      </c>
      <c r="B12" s="148"/>
      <c r="C12" s="147">
        <v>20</v>
      </c>
      <c r="D12" s="156">
        <f t="shared" si="2"/>
        <v>20</v>
      </c>
      <c r="E12" s="156">
        <f t="shared" si="2"/>
        <v>20</v>
      </c>
      <c r="F12" s="156">
        <f t="shared" si="2"/>
        <v>20</v>
      </c>
      <c r="G12" s="156">
        <f t="shared" si="2"/>
        <v>20</v>
      </c>
      <c r="H12" s="156">
        <f t="shared" si="2"/>
        <v>20</v>
      </c>
      <c r="I12" s="156">
        <f t="shared" si="2"/>
        <v>20</v>
      </c>
    </row>
    <row r="13" spans="1:11">
      <c r="A13" s="80" t="s">
        <v>105</v>
      </c>
      <c r="B13" s="148"/>
      <c r="C13" s="147">
        <v>8</v>
      </c>
      <c r="D13" s="156">
        <f t="shared" ref="D13:I13" si="5">C13+C13*$D$3</f>
        <v>8</v>
      </c>
      <c r="E13" s="156">
        <f t="shared" si="5"/>
        <v>8</v>
      </c>
      <c r="F13" s="156">
        <f t="shared" si="5"/>
        <v>8</v>
      </c>
      <c r="G13" s="156">
        <f t="shared" si="5"/>
        <v>8</v>
      </c>
      <c r="H13" s="156">
        <f t="shared" si="5"/>
        <v>8</v>
      </c>
      <c r="I13" s="156">
        <f t="shared" si="5"/>
        <v>8</v>
      </c>
    </row>
    <row r="14" spans="1:11">
      <c r="A14" s="80" t="s">
        <v>46</v>
      </c>
      <c r="B14" s="156"/>
      <c r="C14" s="147">
        <v>35</v>
      </c>
      <c r="D14" s="156">
        <f t="shared" si="2"/>
        <v>35</v>
      </c>
      <c r="E14" s="156">
        <f t="shared" si="2"/>
        <v>35</v>
      </c>
      <c r="F14" s="156">
        <f t="shared" si="2"/>
        <v>35</v>
      </c>
      <c r="G14" s="156">
        <f t="shared" si="2"/>
        <v>35</v>
      </c>
      <c r="H14" s="156">
        <f t="shared" si="2"/>
        <v>35</v>
      </c>
      <c r="I14" s="156">
        <f t="shared" si="2"/>
        <v>35</v>
      </c>
    </row>
    <row r="15" spans="1:11">
      <c r="A15" s="228" t="s">
        <v>0</v>
      </c>
      <c r="B15" s="229"/>
      <c r="C15" s="229">
        <f t="shared" ref="C15:I15" si="6">SUM(C6:C14)</f>
        <v>675</v>
      </c>
      <c r="D15" s="229">
        <f t="shared" si="6"/>
        <v>675</v>
      </c>
      <c r="E15" s="229">
        <f t="shared" si="6"/>
        <v>675</v>
      </c>
      <c r="F15" s="229">
        <f t="shared" si="6"/>
        <v>675</v>
      </c>
      <c r="G15" s="229">
        <f t="shared" si="6"/>
        <v>675</v>
      </c>
      <c r="H15" s="229">
        <f t="shared" si="6"/>
        <v>675</v>
      </c>
      <c r="I15" s="229">
        <f t="shared" si="6"/>
        <v>675</v>
      </c>
    </row>
    <row r="17" spans="1:10">
      <c r="A17" s="61" t="s">
        <v>79</v>
      </c>
      <c r="C17" s="171">
        <f t="shared" ref="C17:I17" si="7">SUM(C18:C18)</f>
        <v>1.635</v>
      </c>
      <c r="D17" s="171">
        <f t="shared" si="7"/>
        <v>1.635</v>
      </c>
      <c r="E17" s="171">
        <f t="shared" si="7"/>
        <v>1.635</v>
      </c>
      <c r="F17" s="171">
        <f t="shared" si="7"/>
        <v>1.635</v>
      </c>
      <c r="G17" s="171">
        <f t="shared" si="7"/>
        <v>1.635</v>
      </c>
      <c r="H17" s="171">
        <f t="shared" si="7"/>
        <v>1.635</v>
      </c>
      <c r="I17" s="171">
        <f t="shared" si="7"/>
        <v>1.635</v>
      </c>
    </row>
    <row r="18" spans="1:10" ht="25.5">
      <c r="A18" s="169" t="s">
        <v>80</v>
      </c>
      <c r="B18" s="172">
        <v>3.0000000000000001E-3</v>
      </c>
      <c r="C18" s="173">
        <f t="shared" ref="C18:I18" si="8">C6*$B$18</f>
        <v>1.635</v>
      </c>
      <c r="D18" s="173">
        <f t="shared" si="8"/>
        <v>1.635</v>
      </c>
      <c r="E18" s="173">
        <f t="shared" si="8"/>
        <v>1.635</v>
      </c>
      <c r="F18" s="173">
        <f t="shared" si="8"/>
        <v>1.635</v>
      </c>
      <c r="G18" s="173">
        <f t="shared" si="8"/>
        <v>1.635</v>
      </c>
      <c r="H18" s="173">
        <f t="shared" si="8"/>
        <v>1.635</v>
      </c>
      <c r="I18" s="173">
        <f t="shared" si="8"/>
        <v>1.635</v>
      </c>
    </row>
    <row r="20" spans="1:10">
      <c r="A20" s="61" t="s">
        <v>81</v>
      </c>
      <c r="C20" s="174">
        <f t="shared" ref="C20:I20" si="9">SUM(C21:C22)</f>
        <v>3.528</v>
      </c>
      <c r="D20" s="174">
        <f t="shared" si="9"/>
        <v>3.528</v>
      </c>
      <c r="E20" s="174">
        <f t="shared" si="9"/>
        <v>3.528</v>
      </c>
      <c r="F20" s="174">
        <f t="shared" si="9"/>
        <v>3.528</v>
      </c>
      <c r="G20" s="174">
        <f t="shared" si="9"/>
        <v>3.528</v>
      </c>
      <c r="H20" s="174">
        <f t="shared" si="9"/>
        <v>3.528</v>
      </c>
      <c r="I20" s="174">
        <f t="shared" si="9"/>
        <v>3.528</v>
      </c>
    </row>
    <row r="21" spans="1:10">
      <c r="A21" s="80" t="s">
        <v>2</v>
      </c>
      <c r="B21" s="175">
        <f>Исх!C16</f>
        <v>1.4999999999999999E-2</v>
      </c>
      <c r="C21" s="156"/>
      <c r="D21" s="156"/>
      <c r="E21" s="156"/>
      <c r="F21" s="156"/>
      <c r="G21" s="156"/>
      <c r="H21" s="156"/>
      <c r="I21" s="156"/>
    </row>
    <row r="22" spans="1:10" ht="25.5">
      <c r="A22" s="80" t="s">
        <v>106</v>
      </c>
      <c r="B22" s="80"/>
      <c r="C22" s="147">
        <f>7*1512*Исх!$C$24/12/1000</f>
        <v>3.528</v>
      </c>
      <c r="D22" s="156">
        <f t="shared" ref="D22:I22" si="10">C22+C22*$D$3</f>
        <v>3.528</v>
      </c>
      <c r="E22" s="156">
        <f t="shared" si="10"/>
        <v>3.528</v>
      </c>
      <c r="F22" s="156">
        <f t="shared" si="10"/>
        <v>3.528</v>
      </c>
      <c r="G22" s="156">
        <f t="shared" si="10"/>
        <v>3.528</v>
      </c>
      <c r="H22" s="156">
        <f t="shared" si="10"/>
        <v>3.528</v>
      </c>
      <c r="I22" s="156">
        <f t="shared" si="10"/>
        <v>3.528</v>
      </c>
      <c r="J22" s="263" t="s">
        <v>272</v>
      </c>
    </row>
    <row r="24" spans="1:10">
      <c r="C24" s="176"/>
    </row>
    <row r="25" spans="1:10">
      <c r="A25" s="284" t="s">
        <v>82</v>
      </c>
      <c r="B25" s="284"/>
      <c r="C25" s="284"/>
      <c r="D25" s="284"/>
      <c r="E25" s="284"/>
      <c r="F25" s="285"/>
      <c r="G25" s="180"/>
      <c r="H25" s="180"/>
      <c r="I25" s="180"/>
    </row>
    <row r="26" spans="1:10">
      <c r="A26" s="78" t="s">
        <v>88</v>
      </c>
      <c r="C26" s="144">
        <v>1</v>
      </c>
      <c r="D26" s="144">
        <f t="shared" ref="D26:I26" si="11">C26+1</f>
        <v>2</v>
      </c>
      <c r="E26" s="144">
        <f t="shared" si="11"/>
        <v>3</v>
      </c>
      <c r="F26" s="144">
        <f t="shared" si="11"/>
        <v>4</v>
      </c>
      <c r="G26" s="181">
        <f t="shared" si="11"/>
        <v>5</v>
      </c>
      <c r="H26" s="181">
        <f t="shared" si="11"/>
        <v>6</v>
      </c>
      <c r="I26" s="181">
        <f t="shared" si="11"/>
        <v>7</v>
      </c>
    </row>
    <row r="27" spans="1:10">
      <c r="A27" s="80" t="s">
        <v>83</v>
      </c>
      <c r="B27" s="177"/>
      <c r="C27" s="80"/>
      <c r="D27" s="80"/>
      <c r="E27" s="80"/>
      <c r="F27" s="80"/>
      <c r="G27" s="80"/>
      <c r="H27" s="80"/>
      <c r="I27" s="80"/>
    </row>
    <row r="28" spans="1:10">
      <c r="A28" s="80" t="s">
        <v>84</v>
      </c>
      <c r="B28" s="178"/>
      <c r="C28" s="156">
        <f t="shared" ref="C28:I30" si="12">C34+C40</f>
        <v>10656</v>
      </c>
      <c r="D28" s="156">
        <f t="shared" si="12"/>
        <v>9590.4</v>
      </c>
      <c r="E28" s="156">
        <f t="shared" si="12"/>
        <v>8524.7999999999993</v>
      </c>
      <c r="F28" s="156">
        <f t="shared" si="12"/>
        <v>7459.1999999999989</v>
      </c>
      <c r="G28" s="156">
        <f t="shared" si="12"/>
        <v>6393.5999999999985</v>
      </c>
      <c r="H28" s="156">
        <f t="shared" si="12"/>
        <v>5327.9999999999982</v>
      </c>
      <c r="I28" s="156">
        <f t="shared" si="12"/>
        <v>4262.3999999999978</v>
      </c>
    </row>
    <row r="29" spans="1:10">
      <c r="A29" s="80" t="s">
        <v>85</v>
      </c>
      <c r="B29" s="178"/>
      <c r="C29" s="156">
        <f t="shared" si="12"/>
        <v>0</v>
      </c>
      <c r="D29" s="156">
        <f t="shared" si="12"/>
        <v>0</v>
      </c>
      <c r="E29" s="156">
        <f t="shared" si="12"/>
        <v>0</v>
      </c>
      <c r="F29" s="156">
        <f t="shared" si="12"/>
        <v>0</v>
      </c>
      <c r="G29" s="156">
        <f t="shared" si="12"/>
        <v>0</v>
      </c>
      <c r="H29" s="156">
        <f t="shared" si="12"/>
        <v>0</v>
      </c>
      <c r="I29" s="156">
        <f t="shared" si="12"/>
        <v>0</v>
      </c>
    </row>
    <row r="30" spans="1:10">
      <c r="A30" s="158" t="s">
        <v>86</v>
      </c>
      <c r="B30" s="158"/>
      <c r="C30" s="157">
        <f t="shared" si="12"/>
        <v>1065.6000000000001</v>
      </c>
      <c r="D30" s="157">
        <f t="shared" si="12"/>
        <v>1065.6000000000001</v>
      </c>
      <c r="E30" s="157">
        <f t="shared" si="12"/>
        <v>1065.6000000000001</v>
      </c>
      <c r="F30" s="157">
        <f t="shared" si="12"/>
        <v>1065.6000000000001</v>
      </c>
      <c r="G30" s="157">
        <f t="shared" si="12"/>
        <v>1065.6000000000001</v>
      </c>
      <c r="H30" s="157">
        <f t="shared" si="12"/>
        <v>1065.6000000000001</v>
      </c>
      <c r="I30" s="157">
        <f t="shared" si="12"/>
        <v>1065.6000000000001</v>
      </c>
    </row>
    <row r="31" spans="1:10">
      <c r="A31" s="80" t="s">
        <v>87</v>
      </c>
      <c r="B31" s="178"/>
      <c r="C31" s="156">
        <f t="shared" ref="C31:I31" si="13">C28+C29-C30</f>
        <v>9590.4</v>
      </c>
      <c r="D31" s="156">
        <f t="shared" si="13"/>
        <v>8524.7999999999993</v>
      </c>
      <c r="E31" s="156">
        <f t="shared" si="13"/>
        <v>7459.1999999999989</v>
      </c>
      <c r="F31" s="156">
        <f t="shared" si="13"/>
        <v>6393.5999999999985</v>
      </c>
      <c r="G31" s="156">
        <f t="shared" si="13"/>
        <v>5327.9999999999982</v>
      </c>
      <c r="H31" s="156">
        <f t="shared" si="13"/>
        <v>4262.3999999999978</v>
      </c>
      <c r="I31" s="156">
        <f t="shared" si="13"/>
        <v>3196.7999999999975</v>
      </c>
    </row>
    <row r="32" spans="1:10" hidden="1" outlineLevel="1">
      <c r="A32" s="78" t="s">
        <v>116</v>
      </c>
      <c r="C32" s="144"/>
      <c r="D32" s="144"/>
      <c r="E32" s="144"/>
      <c r="F32" s="144"/>
      <c r="G32" s="144"/>
      <c r="H32" s="144"/>
      <c r="I32" s="144"/>
    </row>
    <row r="33" spans="1:9" hidden="1" outlineLevel="1">
      <c r="A33" s="80" t="s">
        <v>83</v>
      </c>
      <c r="B33" s="179">
        <v>0.05</v>
      </c>
      <c r="C33" s="80"/>
      <c r="D33" s="80"/>
      <c r="E33" s="80"/>
      <c r="F33" s="80"/>
      <c r="G33" s="80"/>
      <c r="H33" s="80"/>
      <c r="I33" s="80"/>
    </row>
    <row r="34" spans="1:9" hidden="1" outlineLevel="1">
      <c r="A34" s="80" t="s">
        <v>84</v>
      </c>
      <c r="B34" s="178"/>
      <c r="C34" s="148"/>
      <c r="D34" s="156">
        <f t="shared" ref="D34:I34" si="14">C37</f>
        <v>0</v>
      </c>
      <c r="E34" s="156">
        <f t="shared" si="14"/>
        <v>0</v>
      </c>
      <c r="F34" s="156">
        <f t="shared" si="14"/>
        <v>0</v>
      </c>
      <c r="G34" s="156">
        <f t="shared" si="14"/>
        <v>0</v>
      </c>
      <c r="H34" s="156">
        <f t="shared" si="14"/>
        <v>0</v>
      </c>
      <c r="I34" s="156">
        <f t="shared" si="14"/>
        <v>0</v>
      </c>
    </row>
    <row r="35" spans="1:9" hidden="1" outlineLevel="1">
      <c r="A35" s="80" t="s">
        <v>85</v>
      </c>
      <c r="B35" s="178"/>
      <c r="C35" s="156"/>
      <c r="D35" s="156"/>
      <c r="E35" s="156"/>
      <c r="F35" s="156"/>
      <c r="G35" s="156"/>
      <c r="H35" s="156"/>
      <c r="I35" s="156"/>
    </row>
    <row r="36" spans="1:9" hidden="1" outlineLevel="1">
      <c r="A36" s="158" t="s">
        <v>86</v>
      </c>
      <c r="B36" s="158"/>
      <c r="C36" s="157">
        <f>$C34*$B33</f>
        <v>0</v>
      </c>
      <c r="D36" s="157">
        <f t="shared" ref="D36:I36" si="15">$D34*$B33</f>
        <v>0</v>
      </c>
      <c r="E36" s="157">
        <f t="shared" si="15"/>
        <v>0</v>
      </c>
      <c r="F36" s="157">
        <f t="shared" si="15"/>
        <v>0</v>
      </c>
      <c r="G36" s="157">
        <f t="shared" si="15"/>
        <v>0</v>
      </c>
      <c r="H36" s="157">
        <f t="shared" si="15"/>
        <v>0</v>
      </c>
      <c r="I36" s="157">
        <f t="shared" si="15"/>
        <v>0</v>
      </c>
    </row>
    <row r="37" spans="1:9" hidden="1" outlineLevel="1">
      <c r="A37" s="80" t="s">
        <v>87</v>
      </c>
      <c r="B37" s="178"/>
      <c r="C37" s="156">
        <f t="shared" ref="C37:I37" si="16">C34+C35-C36</f>
        <v>0</v>
      </c>
      <c r="D37" s="156">
        <f t="shared" si="16"/>
        <v>0</v>
      </c>
      <c r="E37" s="156">
        <f t="shared" si="16"/>
        <v>0</v>
      </c>
      <c r="F37" s="156">
        <f t="shared" si="16"/>
        <v>0</v>
      </c>
      <c r="G37" s="156">
        <f t="shared" si="16"/>
        <v>0</v>
      </c>
      <c r="H37" s="156">
        <f t="shared" si="16"/>
        <v>0</v>
      </c>
      <c r="I37" s="156">
        <f t="shared" si="16"/>
        <v>0</v>
      </c>
    </row>
    <row r="38" spans="1:9" hidden="1" outlineLevel="1">
      <c r="A38" s="78" t="s">
        <v>111</v>
      </c>
      <c r="C38" s="144"/>
      <c r="D38" s="144"/>
      <c r="E38" s="144"/>
      <c r="F38" s="144"/>
      <c r="G38" s="144"/>
      <c r="H38" s="144"/>
      <c r="I38" s="144"/>
    </row>
    <row r="39" spans="1:9" hidden="1" outlineLevel="1">
      <c r="A39" s="80" t="s">
        <v>83</v>
      </c>
      <c r="B39" s="179">
        <v>0.1</v>
      </c>
      <c r="C39" s="80"/>
      <c r="D39" s="80"/>
      <c r="E39" s="80"/>
      <c r="F39" s="80"/>
      <c r="G39" s="80"/>
      <c r="H39" s="80"/>
      <c r="I39" s="80"/>
    </row>
    <row r="40" spans="1:9" hidden="1" outlineLevel="1">
      <c r="A40" s="80" t="s">
        <v>84</v>
      </c>
      <c r="B40" s="178"/>
      <c r="C40" s="156">
        <f>Инв!B19</f>
        <v>10656</v>
      </c>
      <c r="D40" s="156">
        <f t="shared" ref="D40:I40" si="17">C43</f>
        <v>9590.4</v>
      </c>
      <c r="E40" s="156">
        <f t="shared" si="17"/>
        <v>8524.7999999999993</v>
      </c>
      <c r="F40" s="156">
        <f t="shared" si="17"/>
        <v>7459.1999999999989</v>
      </c>
      <c r="G40" s="156">
        <f t="shared" si="17"/>
        <v>6393.5999999999985</v>
      </c>
      <c r="H40" s="156">
        <f t="shared" si="17"/>
        <v>5327.9999999999982</v>
      </c>
      <c r="I40" s="156">
        <f t="shared" si="17"/>
        <v>4262.3999999999978</v>
      </c>
    </row>
    <row r="41" spans="1:9" hidden="1" outlineLevel="1">
      <c r="A41" s="80" t="s">
        <v>85</v>
      </c>
      <c r="B41" s="178"/>
      <c r="C41" s="156"/>
      <c r="D41" s="156"/>
      <c r="E41" s="156"/>
      <c r="F41" s="156"/>
      <c r="G41" s="156"/>
      <c r="H41" s="156"/>
      <c r="I41" s="156"/>
    </row>
    <row r="42" spans="1:9" hidden="1" outlineLevel="1">
      <c r="A42" s="158" t="s">
        <v>86</v>
      </c>
      <c r="B42" s="158"/>
      <c r="C42" s="157">
        <f t="shared" ref="C42:I42" si="18">$C40*$B39</f>
        <v>1065.6000000000001</v>
      </c>
      <c r="D42" s="157">
        <f t="shared" si="18"/>
        <v>1065.6000000000001</v>
      </c>
      <c r="E42" s="157">
        <f t="shared" si="18"/>
        <v>1065.6000000000001</v>
      </c>
      <c r="F42" s="157">
        <f t="shared" si="18"/>
        <v>1065.6000000000001</v>
      </c>
      <c r="G42" s="157">
        <f t="shared" si="18"/>
        <v>1065.6000000000001</v>
      </c>
      <c r="H42" s="157">
        <f t="shared" si="18"/>
        <v>1065.6000000000001</v>
      </c>
      <c r="I42" s="157">
        <f t="shared" si="18"/>
        <v>1065.6000000000001</v>
      </c>
    </row>
    <row r="43" spans="1:9" hidden="1" outlineLevel="1">
      <c r="A43" s="80" t="s">
        <v>87</v>
      </c>
      <c r="B43" s="178"/>
      <c r="C43" s="156">
        <f t="shared" ref="C43:I43" si="19">C40+C41-C42</f>
        <v>9590.4</v>
      </c>
      <c r="D43" s="156">
        <f t="shared" si="19"/>
        <v>8524.7999999999993</v>
      </c>
      <c r="E43" s="156">
        <f t="shared" si="19"/>
        <v>7459.1999999999989</v>
      </c>
      <c r="F43" s="156">
        <f t="shared" si="19"/>
        <v>6393.5999999999985</v>
      </c>
      <c r="G43" s="156">
        <f t="shared" si="19"/>
        <v>5327.9999999999982</v>
      </c>
      <c r="H43" s="156">
        <f t="shared" si="19"/>
        <v>4262.3999999999978</v>
      </c>
      <c r="I43" s="156">
        <f t="shared" si="19"/>
        <v>3196.7999999999975</v>
      </c>
    </row>
    <row r="44" spans="1:9" collapsed="1"/>
  </sheetData>
  <mergeCells count="1">
    <mergeCell ref="A25:F25"/>
  </mergeCells>
  <pageMargins left="0.75" right="0.75" top="0.3" bottom="1.24" header="0.2" footer="0.3"/>
  <pageSetup paperSize="9" orientation="landscape" r:id="rId1"/>
  <headerFooter alignWithMargins="0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CP17"/>
  <sheetViews>
    <sheetView showGridLines="0" zoomScaleNormal="100" workbookViewId="0">
      <pane xSplit="2" ySplit="6" topLeftCell="C7" activePane="bottomRight" state="frozen"/>
      <selection activeCell="A34" sqref="A34"/>
      <selection pane="topRight" activeCell="A34" sqref="A34"/>
      <selection pane="bottomLeft" activeCell="A34" sqref="A34"/>
      <selection pane="bottomRight" activeCell="AB22" sqref="AB22"/>
    </sheetView>
  </sheetViews>
  <sheetFormatPr defaultRowHeight="12.75" outlineLevelCol="1"/>
  <cols>
    <col min="1" max="1" width="23.28515625" style="182" customWidth="1"/>
    <col min="2" max="2" width="12.140625" style="182" customWidth="1"/>
    <col min="3" max="14" width="9.140625" style="182" hidden="1" customWidth="1" outlineLevel="1"/>
    <col min="15" max="15" width="10.140625" style="183" bestFit="1" customWidth="1" collapsed="1"/>
    <col min="16" max="27" width="9.140625" style="182" hidden="1" customWidth="1" outlineLevel="1"/>
    <col min="28" max="28" width="10.140625" style="183" bestFit="1" customWidth="1" collapsed="1"/>
    <col min="29" max="40" width="9.140625" style="182" hidden="1" customWidth="1" outlineLevel="1"/>
    <col min="41" max="41" width="10.140625" style="183" bestFit="1" customWidth="1" collapsed="1"/>
    <col min="42" max="47" width="9.140625" style="182" hidden="1" customWidth="1" outlineLevel="1"/>
    <col min="48" max="48" width="9.28515625" style="182" hidden="1" customWidth="1" outlineLevel="1"/>
    <col min="49" max="53" width="8.7109375" style="182" hidden="1" customWidth="1" outlineLevel="1"/>
    <col min="54" max="54" width="10.140625" style="183" bestFit="1" customWidth="1" collapsed="1"/>
    <col min="55" max="66" width="8.7109375" style="182" hidden="1" customWidth="1" outlineLevel="1"/>
    <col min="67" max="67" width="10.140625" style="183" bestFit="1" customWidth="1" collapsed="1"/>
    <col min="68" max="79" width="8.7109375" style="182" hidden="1" customWidth="1" outlineLevel="1"/>
    <col min="80" max="80" width="10.140625" style="183" bestFit="1" customWidth="1" collapsed="1"/>
    <col min="81" max="92" width="8.7109375" style="182" hidden="1" customWidth="1" outlineLevel="1"/>
    <col min="93" max="93" width="10.140625" style="183" bestFit="1" customWidth="1" collapsed="1"/>
    <col min="94" max="16384" width="9.140625" style="182"/>
  </cols>
  <sheetData>
    <row r="1" spans="1:94" ht="9.75" customHeight="1"/>
    <row r="2" spans="1:94" ht="18.75" customHeight="1">
      <c r="A2" s="183" t="s">
        <v>102</v>
      </c>
      <c r="B2" s="184"/>
      <c r="D2" s="185"/>
      <c r="E2" s="185"/>
      <c r="F2" s="186"/>
      <c r="G2" s="185"/>
      <c r="O2" s="187"/>
    </row>
    <row r="3" spans="1:94" ht="13.5" customHeight="1">
      <c r="A3" s="188"/>
      <c r="B3" s="184"/>
      <c r="D3" s="185"/>
      <c r="E3" s="185"/>
      <c r="F3" s="186"/>
      <c r="G3" s="185"/>
      <c r="O3" s="187"/>
    </row>
    <row r="4" spans="1:94">
      <c r="A4" s="189"/>
      <c r="B4" s="190"/>
    </row>
    <row r="5" spans="1:94" ht="15.75" customHeight="1">
      <c r="A5" s="191" t="s">
        <v>11</v>
      </c>
      <c r="B5" s="192">
        <f>Исх!C27</f>
        <v>0.12</v>
      </c>
      <c r="C5" s="286">
        <v>2012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>
        <v>2013</v>
      </c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>
        <v>2014</v>
      </c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>
        <v>2015</v>
      </c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>
        <v>2016</v>
      </c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>
        <v>2017</v>
      </c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>
        <v>2018</v>
      </c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</row>
    <row r="6" spans="1:94" s="197" customFormat="1" ht="15" customHeight="1">
      <c r="A6" s="193" t="s">
        <v>9</v>
      </c>
      <c r="B6" s="194" t="s">
        <v>12</v>
      </c>
      <c r="C6" s="195">
        <v>1</v>
      </c>
      <c r="D6" s="195">
        <v>2</v>
      </c>
      <c r="E6" s="195">
        <f>D6+1</f>
        <v>3</v>
      </c>
      <c r="F6" s="195">
        <f t="shared" ref="F6:N6" si="0">E6+1</f>
        <v>4</v>
      </c>
      <c r="G6" s="195">
        <f t="shared" si="0"/>
        <v>5</v>
      </c>
      <c r="H6" s="195">
        <f t="shared" si="0"/>
        <v>6</v>
      </c>
      <c r="I6" s="195">
        <f t="shared" si="0"/>
        <v>7</v>
      </c>
      <c r="J6" s="195">
        <f t="shared" si="0"/>
        <v>8</v>
      </c>
      <c r="K6" s="195">
        <f t="shared" si="0"/>
        <v>9</v>
      </c>
      <c r="L6" s="195">
        <f t="shared" si="0"/>
        <v>10</v>
      </c>
      <c r="M6" s="195">
        <f t="shared" si="0"/>
        <v>11</v>
      </c>
      <c r="N6" s="195">
        <f t="shared" si="0"/>
        <v>12</v>
      </c>
      <c r="O6" s="196" t="s">
        <v>1</v>
      </c>
      <c r="P6" s="195">
        <v>1</v>
      </c>
      <c r="Q6" s="195">
        <v>2</v>
      </c>
      <c r="R6" s="195">
        <f>Q6+1</f>
        <v>3</v>
      </c>
      <c r="S6" s="195">
        <f t="shared" ref="S6:AA6" si="1">R6+1</f>
        <v>4</v>
      </c>
      <c r="T6" s="195">
        <f t="shared" si="1"/>
        <v>5</v>
      </c>
      <c r="U6" s="195">
        <f t="shared" si="1"/>
        <v>6</v>
      </c>
      <c r="V6" s="195">
        <f t="shared" si="1"/>
        <v>7</v>
      </c>
      <c r="W6" s="195">
        <f t="shared" si="1"/>
        <v>8</v>
      </c>
      <c r="X6" s="195">
        <f t="shared" si="1"/>
        <v>9</v>
      </c>
      <c r="Y6" s="195">
        <f t="shared" si="1"/>
        <v>10</v>
      </c>
      <c r="Z6" s="195">
        <f t="shared" si="1"/>
        <v>11</v>
      </c>
      <c r="AA6" s="195">
        <f t="shared" si="1"/>
        <v>12</v>
      </c>
      <c r="AB6" s="196" t="s">
        <v>1</v>
      </c>
      <c r="AC6" s="195">
        <v>1</v>
      </c>
      <c r="AD6" s="195">
        <v>2</v>
      </c>
      <c r="AE6" s="195">
        <f t="shared" ref="AE6:BN6" si="2">AD6+1</f>
        <v>3</v>
      </c>
      <c r="AF6" s="195">
        <f t="shared" si="2"/>
        <v>4</v>
      </c>
      <c r="AG6" s="195">
        <f t="shared" si="2"/>
        <v>5</v>
      </c>
      <c r="AH6" s="195">
        <f t="shared" si="2"/>
        <v>6</v>
      </c>
      <c r="AI6" s="195">
        <f t="shared" si="2"/>
        <v>7</v>
      </c>
      <c r="AJ6" s="195">
        <f t="shared" si="2"/>
        <v>8</v>
      </c>
      <c r="AK6" s="195">
        <f t="shared" si="2"/>
        <v>9</v>
      </c>
      <c r="AL6" s="195">
        <f t="shared" si="2"/>
        <v>10</v>
      </c>
      <c r="AM6" s="195">
        <f t="shared" si="2"/>
        <v>11</v>
      </c>
      <c r="AN6" s="195">
        <f t="shared" si="2"/>
        <v>12</v>
      </c>
      <c r="AO6" s="196" t="s">
        <v>1</v>
      </c>
      <c r="AP6" s="195">
        <v>1</v>
      </c>
      <c r="AQ6" s="195">
        <v>2</v>
      </c>
      <c r="AR6" s="195">
        <f>AQ6+1</f>
        <v>3</v>
      </c>
      <c r="AS6" s="195">
        <f t="shared" si="2"/>
        <v>4</v>
      </c>
      <c r="AT6" s="195">
        <f t="shared" si="2"/>
        <v>5</v>
      </c>
      <c r="AU6" s="195">
        <f t="shared" si="2"/>
        <v>6</v>
      </c>
      <c r="AV6" s="195">
        <f t="shared" si="2"/>
        <v>7</v>
      </c>
      <c r="AW6" s="195">
        <f t="shared" si="2"/>
        <v>8</v>
      </c>
      <c r="AX6" s="195">
        <f t="shared" si="2"/>
        <v>9</v>
      </c>
      <c r="AY6" s="195">
        <f t="shared" si="2"/>
        <v>10</v>
      </c>
      <c r="AZ6" s="195">
        <f t="shared" si="2"/>
        <v>11</v>
      </c>
      <c r="BA6" s="195">
        <f t="shared" si="2"/>
        <v>12</v>
      </c>
      <c r="BB6" s="196" t="s">
        <v>1</v>
      </c>
      <c r="BC6" s="195">
        <v>1</v>
      </c>
      <c r="BD6" s="195">
        <v>2</v>
      </c>
      <c r="BE6" s="195">
        <f>BD6+1</f>
        <v>3</v>
      </c>
      <c r="BF6" s="195">
        <f t="shared" si="2"/>
        <v>4</v>
      </c>
      <c r="BG6" s="195">
        <f t="shared" si="2"/>
        <v>5</v>
      </c>
      <c r="BH6" s="195">
        <f t="shared" si="2"/>
        <v>6</v>
      </c>
      <c r="BI6" s="195">
        <f t="shared" si="2"/>
        <v>7</v>
      </c>
      <c r="BJ6" s="195">
        <f t="shared" si="2"/>
        <v>8</v>
      </c>
      <c r="BK6" s="195">
        <f t="shared" si="2"/>
        <v>9</v>
      </c>
      <c r="BL6" s="195">
        <f t="shared" si="2"/>
        <v>10</v>
      </c>
      <c r="BM6" s="195">
        <f t="shared" si="2"/>
        <v>11</v>
      </c>
      <c r="BN6" s="195">
        <f t="shared" si="2"/>
        <v>12</v>
      </c>
      <c r="BO6" s="196" t="s">
        <v>1</v>
      </c>
      <c r="BP6" s="195">
        <v>1</v>
      </c>
      <c r="BQ6" s="195">
        <v>2</v>
      </c>
      <c r="BR6" s="195">
        <f t="shared" ref="BR6:CA6" si="3">BQ6+1</f>
        <v>3</v>
      </c>
      <c r="BS6" s="195">
        <f t="shared" si="3"/>
        <v>4</v>
      </c>
      <c r="BT6" s="195">
        <f t="shared" si="3"/>
        <v>5</v>
      </c>
      <c r="BU6" s="195">
        <f t="shared" si="3"/>
        <v>6</v>
      </c>
      <c r="BV6" s="195">
        <f t="shared" si="3"/>
        <v>7</v>
      </c>
      <c r="BW6" s="195">
        <f t="shared" si="3"/>
        <v>8</v>
      </c>
      <c r="BX6" s="195">
        <f t="shared" si="3"/>
        <v>9</v>
      </c>
      <c r="BY6" s="195">
        <f t="shared" si="3"/>
        <v>10</v>
      </c>
      <c r="BZ6" s="195">
        <f t="shared" si="3"/>
        <v>11</v>
      </c>
      <c r="CA6" s="195">
        <f t="shared" si="3"/>
        <v>12</v>
      </c>
      <c r="CB6" s="196" t="s">
        <v>1</v>
      </c>
      <c r="CC6" s="195">
        <v>1</v>
      </c>
      <c r="CD6" s="195">
        <v>2</v>
      </c>
      <c r="CE6" s="195">
        <f t="shared" ref="CE6:CN6" si="4">CD6+1</f>
        <v>3</v>
      </c>
      <c r="CF6" s="195">
        <f t="shared" si="4"/>
        <v>4</v>
      </c>
      <c r="CG6" s="195">
        <f t="shared" si="4"/>
        <v>5</v>
      </c>
      <c r="CH6" s="195">
        <f t="shared" si="4"/>
        <v>6</v>
      </c>
      <c r="CI6" s="195">
        <f t="shared" si="4"/>
        <v>7</v>
      </c>
      <c r="CJ6" s="195">
        <f t="shared" si="4"/>
        <v>8</v>
      </c>
      <c r="CK6" s="195">
        <f t="shared" si="4"/>
        <v>9</v>
      </c>
      <c r="CL6" s="195">
        <f t="shared" si="4"/>
        <v>10</v>
      </c>
      <c r="CM6" s="195">
        <f t="shared" si="4"/>
        <v>11</v>
      </c>
      <c r="CN6" s="195">
        <f t="shared" si="4"/>
        <v>12</v>
      </c>
      <c r="CO6" s="196" t="s">
        <v>1</v>
      </c>
    </row>
    <row r="7" spans="1:94">
      <c r="A7" s="193" t="s">
        <v>112</v>
      </c>
      <c r="B7" s="198">
        <f>O7+AB7+AO7+BB7+BO7+CB7+CO7</f>
        <v>8524.7999999999993</v>
      </c>
      <c r="C7" s="199">
        <f>'1-Ф3'!D29</f>
        <v>0</v>
      </c>
      <c r="D7" s="199">
        <f>'1-Ф3'!E29</f>
        <v>4262.3999999999996</v>
      </c>
      <c r="E7" s="199">
        <f>'1-Ф3'!F29</f>
        <v>4262.3999999999996</v>
      </c>
      <c r="F7" s="199">
        <f>'1-Ф3'!G29</f>
        <v>0</v>
      </c>
      <c r="G7" s="199">
        <f>'1-Ф3'!H29</f>
        <v>0</v>
      </c>
      <c r="H7" s="199">
        <f>'1-Ф3'!I29</f>
        <v>0</v>
      </c>
      <c r="I7" s="199">
        <f>'1-Ф3'!J29</f>
        <v>0</v>
      </c>
      <c r="J7" s="199">
        <f>'1-Ф3'!K29</f>
        <v>0</v>
      </c>
      <c r="K7" s="199">
        <f>'1-Ф3'!L29</f>
        <v>0</v>
      </c>
      <c r="L7" s="199">
        <f>'1-Ф3'!M29</f>
        <v>0</v>
      </c>
      <c r="M7" s="199">
        <f>'1-Ф3'!N29</f>
        <v>0</v>
      </c>
      <c r="N7" s="199">
        <f>'1-Ф3'!O29</f>
        <v>0</v>
      </c>
      <c r="O7" s="200">
        <f>SUM(C7:N7)</f>
        <v>8524.7999999999993</v>
      </c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201"/>
    </row>
    <row r="8" spans="1:94" s="202" customFormat="1" ht="20.25" customHeight="1">
      <c r="A8" s="193" t="s">
        <v>31</v>
      </c>
      <c r="B8" s="198">
        <f>O8+AB8+AO8+BB8+BO8+CB8+CO8</f>
        <v>213.11999999999998</v>
      </c>
      <c r="C8" s="199"/>
      <c r="D8" s="199"/>
      <c r="E8" s="199"/>
      <c r="F8" s="199"/>
      <c r="G8" s="199">
        <f>SUM(D9:G9)</f>
        <v>213.11999999999998</v>
      </c>
      <c r="H8" s="199"/>
      <c r="I8" s="199"/>
      <c r="J8" s="199"/>
      <c r="K8" s="199"/>
      <c r="L8" s="199"/>
      <c r="M8" s="199"/>
      <c r="N8" s="199"/>
      <c r="O8" s="200">
        <f>SUM(C8:N8)</f>
        <v>213.11999999999998</v>
      </c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200">
        <f>SUM(P8:AA8)</f>
        <v>0</v>
      </c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200">
        <f>SUM(AC8:AN8)</f>
        <v>0</v>
      </c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200">
        <f>SUM(AP8:BA8)</f>
        <v>0</v>
      </c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200">
        <f>SUM(BC8:BN8)</f>
        <v>0</v>
      </c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200">
        <f>SUM(BP8:CA8)</f>
        <v>0</v>
      </c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200">
        <f>SUM(CC8:CN8)</f>
        <v>0</v>
      </c>
    </row>
    <row r="9" spans="1:94" s="202" customFormat="1">
      <c r="A9" s="203" t="s">
        <v>13</v>
      </c>
      <c r="B9" s="198">
        <f>O9+AB9+AO9+BB9+BO9+CB9+CO9</f>
        <v>2747.1168000000052</v>
      </c>
      <c r="C9" s="199"/>
      <c r="D9" s="199">
        <f>C12*$B$5/12</f>
        <v>0</v>
      </c>
      <c r="E9" s="199">
        <f>D12*$B$5/12</f>
        <v>42.623999999999995</v>
      </c>
      <c r="F9" s="199">
        <f>E12*$B$5/12</f>
        <v>85.24799999999999</v>
      </c>
      <c r="G9" s="199">
        <f>F12*$B$5/12</f>
        <v>85.24799999999999</v>
      </c>
      <c r="H9" s="199">
        <f>G12*$B$5/12</f>
        <v>87.379200000000012</v>
      </c>
      <c r="I9" s="199">
        <f t="shared" ref="I9:AA9" si="5">H12*$B$5/12</f>
        <v>85.846231578947368</v>
      </c>
      <c r="J9" s="199">
        <f t="shared" si="5"/>
        <v>84.313263157894738</v>
      </c>
      <c r="K9" s="199">
        <f t="shared" si="5"/>
        <v>82.780294736842109</v>
      </c>
      <c r="L9" s="199">
        <f>K12*$B$5/12</f>
        <v>81.247326315789493</v>
      </c>
      <c r="M9" s="199">
        <f t="shared" si="5"/>
        <v>79.714357894736864</v>
      </c>
      <c r="N9" s="199">
        <f t="shared" si="5"/>
        <v>78.181389473684234</v>
      </c>
      <c r="O9" s="200">
        <f>SUM(C9:N9)</f>
        <v>792.58206315789471</v>
      </c>
      <c r="P9" s="199">
        <f t="shared" si="5"/>
        <v>76.648421052631605</v>
      </c>
      <c r="Q9" s="199">
        <f t="shared" si="5"/>
        <v>75.115452631578975</v>
      </c>
      <c r="R9" s="199">
        <f t="shared" si="5"/>
        <v>73.582484210526346</v>
      </c>
      <c r="S9" s="199">
        <f t="shared" si="5"/>
        <v>72.049515789473716</v>
      </c>
      <c r="T9" s="199">
        <f t="shared" si="5"/>
        <v>70.516547368421087</v>
      </c>
      <c r="U9" s="199">
        <f t="shared" si="5"/>
        <v>68.983578947368457</v>
      </c>
      <c r="V9" s="199">
        <f t="shared" si="5"/>
        <v>67.450610526315828</v>
      </c>
      <c r="W9" s="199">
        <f t="shared" si="5"/>
        <v>65.917642105263198</v>
      </c>
      <c r="X9" s="199">
        <f t="shared" si="5"/>
        <v>64.384673684210568</v>
      </c>
      <c r="Y9" s="199">
        <f t="shared" si="5"/>
        <v>62.851705263157946</v>
      </c>
      <c r="Z9" s="199">
        <f t="shared" si="5"/>
        <v>61.318736842105316</v>
      </c>
      <c r="AA9" s="199">
        <f t="shared" si="5"/>
        <v>59.785768421052687</v>
      </c>
      <c r="AB9" s="200">
        <f>SUM(P9:AA9)</f>
        <v>818.60513684210571</v>
      </c>
      <c r="AC9" s="199">
        <f t="shared" ref="AC9:AN9" si="6">AB12*$B$5/12</f>
        <v>58.252800000000057</v>
      </c>
      <c r="AD9" s="199">
        <f t="shared" si="6"/>
        <v>56.719831578947435</v>
      </c>
      <c r="AE9" s="199">
        <f t="shared" si="6"/>
        <v>55.186863157894805</v>
      </c>
      <c r="AF9" s="199">
        <f t="shared" si="6"/>
        <v>53.653894736842176</v>
      </c>
      <c r="AG9" s="199">
        <f t="shared" si="6"/>
        <v>52.120926315789546</v>
      </c>
      <c r="AH9" s="199">
        <f t="shared" si="6"/>
        <v>50.587957894736917</v>
      </c>
      <c r="AI9" s="199">
        <f t="shared" si="6"/>
        <v>49.054989473684287</v>
      </c>
      <c r="AJ9" s="199">
        <f t="shared" si="6"/>
        <v>47.522021052631658</v>
      </c>
      <c r="AK9" s="199">
        <f t="shared" si="6"/>
        <v>45.989052631579028</v>
      </c>
      <c r="AL9" s="199">
        <f t="shared" si="6"/>
        <v>44.456084210526406</v>
      </c>
      <c r="AM9" s="199">
        <f t="shared" si="6"/>
        <v>42.923115789473776</v>
      </c>
      <c r="AN9" s="199">
        <f t="shared" si="6"/>
        <v>41.390147368421147</v>
      </c>
      <c r="AO9" s="200">
        <f>SUM(AC9:AN9)</f>
        <v>597.85768421052728</v>
      </c>
      <c r="AP9" s="199">
        <f t="shared" ref="AP9:BA9" si="7">AO12*$B$5/12</f>
        <v>39.857178947368517</v>
      </c>
      <c r="AQ9" s="199">
        <f t="shared" si="7"/>
        <v>38.324210526315881</v>
      </c>
      <c r="AR9" s="199">
        <f t="shared" si="7"/>
        <v>36.791242105263244</v>
      </c>
      <c r="AS9" s="199">
        <f t="shared" si="7"/>
        <v>35.258273684210614</v>
      </c>
      <c r="AT9" s="199">
        <f t="shared" si="7"/>
        <v>33.725305263157985</v>
      </c>
      <c r="AU9" s="199">
        <f t="shared" si="7"/>
        <v>32.192336842105348</v>
      </c>
      <c r="AV9" s="199">
        <f t="shared" si="7"/>
        <v>30.659368421052719</v>
      </c>
      <c r="AW9" s="199">
        <f t="shared" si="7"/>
        <v>29.126400000000086</v>
      </c>
      <c r="AX9" s="199">
        <f t="shared" si="7"/>
        <v>27.593431578947449</v>
      </c>
      <c r="AY9" s="199">
        <f t="shared" si="7"/>
        <v>26.060463157894819</v>
      </c>
      <c r="AZ9" s="199">
        <f t="shared" si="7"/>
        <v>24.527494736842186</v>
      </c>
      <c r="BA9" s="199">
        <f t="shared" si="7"/>
        <v>22.994526315789553</v>
      </c>
      <c r="BB9" s="200">
        <f>SUM(AP9:BA9)</f>
        <v>377.1102315789484</v>
      </c>
      <c r="BC9" s="199">
        <f t="shared" ref="BC9:BN9" si="8">BB12*$B$5/12</f>
        <v>21.461557894736917</v>
      </c>
      <c r="BD9" s="199">
        <f t="shared" si="8"/>
        <v>19.928589473684287</v>
      </c>
      <c r="BE9" s="199">
        <f t="shared" si="8"/>
        <v>18.395621052631657</v>
      </c>
      <c r="BF9" s="199">
        <f t="shared" si="8"/>
        <v>16.862652631579028</v>
      </c>
      <c r="BG9" s="199">
        <f t="shared" si="8"/>
        <v>15.329684210526397</v>
      </c>
      <c r="BH9" s="199">
        <f t="shared" si="8"/>
        <v>13.796715789473767</v>
      </c>
      <c r="BI9" s="199">
        <f t="shared" si="8"/>
        <v>12.263747368421136</v>
      </c>
      <c r="BJ9" s="199">
        <f t="shared" si="8"/>
        <v>10.730778947368506</v>
      </c>
      <c r="BK9" s="199">
        <f t="shared" si="8"/>
        <v>9.1978105263158731</v>
      </c>
      <c r="BL9" s="199">
        <f t="shared" si="8"/>
        <v>7.6648421052632409</v>
      </c>
      <c r="BM9" s="199">
        <f t="shared" si="8"/>
        <v>6.1318736842106105</v>
      </c>
      <c r="BN9" s="199">
        <f t="shared" si="8"/>
        <v>4.5989052631579783</v>
      </c>
      <c r="BO9" s="200">
        <f>SUM(BC9:BN9)</f>
        <v>156.36277894736935</v>
      </c>
      <c r="BP9" s="199">
        <f t="shared" ref="BP9:CA9" si="9">BO12*$B$5/12</f>
        <v>3.0659368421053466</v>
      </c>
      <c r="BQ9" s="199">
        <f t="shared" si="9"/>
        <v>1.532968421052715</v>
      </c>
      <c r="BR9" s="199">
        <f t="shared" si="9"/>
        <v>8.355982572538778E-14</v>
      </c>
      <c r="BS9" s="199">
        <f t="shared" si="9"/>
        <v>8.355982572538778E-14</v>
      </c>
      <c r="BT9" s="199">
        <f t="shared" si="9"/>
        <v>8.355982572538778E-14</v>
      </c>
      <c r="BU9" s="199">
        <f t="shared" si="9"/>
        <v>8.355982572538778E-14</v>
      </c>
      <c r="BV9" s="199">
        <f t="shared" si="9"/>
        <v>8.355982572538778E-14</v>
      </c>
      <c r="BW9" s="199">
        <f t="shared" si="9"/>
        <v>8.355982572538778E-14</v>
      </c>
      <c r="BX9" s="199">
        <f t="shared" si="9"/>
        <v>8.355982572538778E-14</v>
      </c>
      <c r="BY9" s="199">
        <f t="shared" si="9"/>
        <v>8.355982572538778E-14</v>
      </c>
      <c r="BZ9" s="199">
        <f t="shared" si="9"/>
        <v>8.355982572538778E-14</v>
      </c>
      <c r="CA9" s="199">
        <f t="shared" si="9"/>
        <v>8.355982572538778E-14</v>
      </c>
      <c r="CB9" s="200">
        <f>SUM(BP9:CA9)</f>
        <v>4.5989052631588967</v>
      </c>
      <c r="CC9" s="199">
        <f t="shared" ref="CC9:CN9" si="10">CB12*$B$5/12</f>
        <v>8.355982572538778E-14</v>
      </c>
      <c r="CD9" s="199">
        <f t="shared" si="10"/>
        <v>8.355982572538778E-14</v>
      </c>
      <c r="CE9" s="199">
        <f t="shared" si="10"/>
        <v>8.355982572538778E-14</v>
      </c>
      <c r="CF9" s="199">
        <f t="shared" si="10"/>
        <v>8.355982572538778E-14</v>
      </c>
      <c r="CG9" s="199">
        <f t="shared" si="10"/>
        <v>8.355982572538778E-14</v>
      </c>
      <c r="CH9" s="199">
        <f t="shared" si="10"/>
        <v>8.355982572538778E-14</v>
      </c>
      <c r="CI9" s="199">
        <f t="shared" si="10"/>
        <v>8.355982572538778E-14</v>
      </c>
      <c r="CJ9" s="199">
        <f t="shared" si="10"/>
        <v>8.355982572538778E-14</v>
      </c>
      <c r="CK9" s="199">
        <f t="shared" si="10"/>
        <v>8.355982572538778E-14</v>
      </c>
      <c r="CL9" s="199">
        <f t="shared" si="10"/>
        <v>8.355982572538778E-14</v>
      </c>
      <c r="CM9" s="199">
        <f t="shared" si="10"/>
        <v>8.355982572538778E-14</v>
      </c>
      <c r="CN9" s="199">
        <f t="shared" si="10"/>
        <v>8.355982572538778E-14</v>
      </c>
      <c r="CO9" s="200">
        <f>SUM(CC9:CN9)</f>
        <v>1.0027179087046534E-12</v>
      </c>
    </row>
    <row r="10" spans="1:94">
      <c r="A10" s="193" t="s">
        <v>14</v>
      </c>
      <c r="B10" s="198">
        <f>O10+AB10+AO10+BB10+BO10+CB10+CO10</f>
        <v>8737.9199999999983</v>
      </c>
      <c r="C10" s="199"/>
      <c r="D10" s="199"/>
      <c r="E10" s="204"/>
      <c r="F10" s="204"/>
      <c r="G10" s="204"/>
      <c r="H10" s="199">
        <f>$G$12/$B$13</f>
        <v>153.29684210526315</v>
      </c>
      <c r="I10" s="199">
        <f t="shared" ref="I10:BQ10" si="11">$G$12/$B$13</f>
        <v>153.29684210526315</v>
      </c>
      <c r="J10" s="199">
        <f t="shared" si="11"/>
        <v>153.29684210526315</v>
      </c>
      <c r="K10" s="199">
        <f t="shared" si="11"/>
        <v>153.29684210526315</v>
      </c>
      <c r="L10" s="199">
        <f t="shared" si="11"/>
        <v>153.29684210526315</v>
      </c>
      <c r="M10" s="199">
        <f t="shared" si="11"/>
        <v>153.29684210526315</v>
      </c>
      <c r="N10" s="199">
        <f t="shared" si="11"/>
        <v>153.29684210526315</v>
      </c>
      <c r="O10" s="200">
        <f>SUM(C10:N10)</f>
        <v>1073.0778947368422</v>
      </c>
      <c r="P10" s="199">
        <f t="shared" si="11"/>
        <v>153.29684210526315</v>
      </c>
      <c r="Q10" s="199">
        <f t="shared" si="11"/>
        <v>153.29684210526315</v>
      </c>
      <c r="R10" s="199">
        <f t="shared" si="11"/>
        <v>153.29684210526315</v>
      </c>
      <c r="S10" s="199">
        <f t="shared" si="11"/>
        <v>153.29684210526315</v>
      </c>
      <c r="T10" s="199">
        <f t="shared" si="11"/>
        <v>153.29684210526315</v>
      </c>
      <c r="U10" s="199">
        <f t="shared" si="11"/>
        <v>153.29684210526315</v>
      </c>
      <c r="V10" s="199">
        <f t="shared" si="11"/>
        <v>153.29684210526315</v>
      </c>
      <c r="W10" s="199">
        <f t="shared" si="11"/>
        <v>153.29684210526315</v>
      </c>
      <c r="X10" s="199">
        <f t="shared" si="11"/>
        <v>153.29684210526315</v>
      </c>
      <c r="Y10" s="199">
        <f t="shared" si="11"/>
        <v>153.29684210526315</v>
      </c>
      <c r="Z10" s="199">
        <f t="shared" si="11"/>
        <v>153.29684210526315</v>
      </c>
      <c r="AA10" s="199">
        <f t="shared" si="11"/>
        <v>153.29684210526315</v>
      </c>
      <c r="AB10" s="200">
        <f>SUM(P10:AA10)</f>
        <v>1839.5621052631575</v>
      </c>
      <c r="AC10" s="199">
        <f t="shared" si="11"/>
        <v>153.29684210526315</v>
      </c>
      <c r="AD10" s="199">
        <f t="shared" si="11"/>
        <v>153.29684210526315</v>
      </c>
      <c r="AE10" s="199">
        <f t="shared" si="11"/>
        <v>153.29684210526315</v>
      </c>
      <c r="AF10" s="199">
        <f t="shared" si="11"/>
        <v>153.29684210526315</v>
      </c>
      <c r="AG10" s="199">
        <f t="shared" si="11"/>
        <v>153.29684210526315</v>
      </c>
      <c r="AH10" s="199">
        <f t="shared" si="11"/>
        <v>153.29684210526315</v>
      </c>
      <c r="AI10" s="199">
        <f t="shared" si="11"/>
        <v>153.29684210526315</v>
      </c>
      <c r="AJ10" s="199">
        <f t="shared" si="11"/>
        <v>153.29684210526315</v>
      </c>
      <c r="AK10" s="199">
        <f t="shared" si="11"/>
        <v>153.29684210526315</v>
      </c>
      <c r="AL10" s="199">
        <f t="shared" si="11"/>
        <v>153.29684210526315</v>
      </c>
      <c r="AM10" s="199">
        <f t="shared" si="11"/>
        <v>153.29684210526315</v>
      </c>
      <c r="AN10" s="199">
        <f t="shared" si="11"/>
        <v>153.29684210526315</v>
      </c>
      <c r="AO10" s="200">
        <f>SUM(AC10:AN10)</f>
        <v>1839.5621052631575</v>
      </c>
      <c r="AP10" s="199">
        <f t="shared" si="11"/>
        <v>153.29684210526315</v>
      </c>
      <c r="AQ10" s="199">
        <f t="shared" si="11"/>
        <v>153.29684210526315</v>
      </c>
      <c r="AR10" s="199">
        <f t="shared" si="11"/>
        <v>153.29684210526315</v>
      </c>
      <c r="AS10" s="199">
        <f t="shared" si="11"/>
        <v>153.29684210526315</v>
      </c>
      <c r="AT10" s="199">
        <f t="shared" si="11"/>
        <v>153.29684210526315</v>
      </c>
      <c r="AU10" s="199">
        <f t="shared" si="11"/>
        <v>153.29684210526315</v>
      </c>
      <c r="AV10" s="199">
        <f t="shared" si="11"/>
        <v>153.29684210526315</v>
      </c>
      <c r="AW10" s="199">
        <f t="shared" si="11"/>
        <v>153.29684210526315</v>
      </c>
      <c r="AX10" s="199">
        <f t="shared" si="11"/>
        <v>153.29684210526315</v>
      </c>
      <c r="AY10" s="199">
        <f t="shared" si="11"/>
        <v>153.29684210526315</v>
      </c>
      <c r="AZ10" s="199">
        <f t="shared" si="11"/>
        <v>153.29684210526315</v>
      </c>
      <c r="BA10" s="199">
        <f t="shared" si="11"/>
        <v>153.29684210526315</v>
      </c>
      <c r="BB10" s="200">
        <f>SUM(AP10:BA10)</f>
        <v>1839.5621052631575</v>
      </c>
      <c r="BC10" s="199">
        <f t="shared" si="11"/>
        <v>153.29684210526315</v>
      </c>
      <c r="BD10" s="199">
        <f t="shared" si="11"/>
        <v>153.29684210526315</v>
      </c>
      <c r="BE10" s="199">
        <f t="shared" si="11"/>
        <v>153.29684210526315</v>
      </c>
      <c r="BF10" s="199">
        <f t="shared" si="11"/>
        <v>153.29684210526315</v>
      </c>
      <c r="BG10" s="199">
        <f t="shared" si="11"/>
        <v>153.29684210526315</v>
      </c>
      <c r="BH10" s="199">
        <f t="shared" si="11"/>
        <v>153.29684210526315</v>
      </c>
      <c r="BI10" s="199">
        <f t="shared" si="11"/>
        <v>153.29684210526315</v>
      </c>
      <c r="BJ10" s="199">
        <f t="shared" si="11"/>
        <v>153.29684210526315</v>
      </c>
      <c r="BK10" s="199">
        <f t="shared" si="11"/>
        <v>153.29684210526315</v>
      </c>
      <c r="BL10" s="199">
        <f t="shared" si="11"/>
        <v>153.29684210526315</v>
      </c>
      <c r="BM10" s="199">
        <f t="shared" si="11"/>
        <v>153.29684210526315</v>
      </c>
      <c r="BN10" s="199">
        <f t="shared" si="11"/>
        <v>153.29684210526315</v>
      </c>
      <c r="BO10" s="200">
        <f>SUM(BC10:BN10)</f>
        <v>1839.5621052631575</v>
      </c>
      <c r="BP10" s="199">
        <f t="shared" si="11"/>
        <v>153.29684210526315</v>
      </c>
      <c r="BQ10" s="199">
        <f t="shared" si="11"/>
        <v>153.29684210526315</v>
      </c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200">
        <f>SUM(BP10:CA10)</f>
        <v>306.59368421052631</v>
      </c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200">
        <f>SUM(CC10:CN10)</f>
        <v>0</v>
      </c>
      <c r="CP10" s="201"/>
    </row>
    <row r="11" spans="1:94">
      <c r="A11" s="193" t="s">
        <v>15</v>
      </c>
      <c r="B11" s="198">
        <f>O11+AB11+AO11+BB11+BO11+CB11+CO11</f>
        <v>2533.9968000000054</v>
      </c>
      <c r="C11" s="199"/>
      <c r="D11" s="199"/>
      <c r="E11" s="204"/>
      <c r="F11" s="204"/>
      <c r="G11" s="204"/>
      <c r="H11" s="199">
        <f t="shared" ref="H11:N11" si="12">H9</f>
        <v>87.379200000000012</v>
      </c>
      <c r="I11" s="199">
        <f t="shared" si="12"/>
        <v>85.846231578947368</v>
      </c>
      <c r="J11" s="199">
        <f t="shared" si="12"/>
        <v>84.313263157894738</v>
      </c>
      <c r="K11" s="199">
        <f t="shared" si="12"/>
        <v>82.780294736842109</v>
      </c>
      <c r="L11" s="199">
        <f t="shared" si="12"/>
        <v>81.247326315789493</v>
      </c>
      <c r="M11" s="199">
        <f t="shared" si="12"/>
        <v>79.714357894736864</v>
      </c>
      <c r="N11" s="199">
        <f t="shared" si="12"/>
        <v>78.181389473684234</v>
      </c>
      <c r="O11" s="200">
        <f>SUM(C11:N11)</f>
        <v>579.46206315789482</v>
      </c>
      <c r="P11" s="199">
        <f t="shared" ref="P11:BN11" si="13">P9</f>
        <v>76.648421052631605</v>
      </c>
      <c r="Q11" s="199">
        <f t="shared" si="13"/>
        <v>75.115452631578975</v>
      </c>
      <c r="R11" s="199">
        <f t="shared" si="13"/>
        <v>73.582484210526346</v>
      </c>
      <c r="S11" s="199">
        <f t="shared" si="13"/>
        <v>72.049515789473716</v>
      </c>
      <c r="T11" s="199">
        <f t="shared" si="13"/>
        <v>70.516547368421087</v>
      </c>
      <c r="U11" s="199">
        <f t="shared" si="13"/>
        <v>68.983578947368457</v>
      </c>
      <c r="V11" s="199">
        <f t="shared" si="13"/>
        <v>67.450610526315828</v>
      </c>
      <c r="W11" s="199">
        <f t="shared" si="13"/>
        <v>65.917642105263198</v>
      </c>
      <c r="X11" s="199">
        <f t="shared" si="13"/>
        <v>64.384673684210568</v>
      </c>
      <c r="Y11" s="199">
        <f t="shared" si="13"/>
        <v>62.851705263157946</v>
      </c>
      <c r="Z11" s="199">
        <f t="shared" si="13"/>
        <v>61.318736842105316</v>
      </c>
      <c r="AA11" s="199">
        <f t="shared" si="13"/>
        <v>59.785768421052687</v>
      </c>
      <c r="AB11" s="200">
        <f>SUM(P11:AA11)</f>
        <v>818.60513684210571</v>
      </c>
      <c r="AC11" s="199">
        <f t="shared" si="13"/>
        <v>58.252800000000057</v>
      </c>
      <c r="AD11" s="199">
        <f t="shared" si="13"/>
        <v>56.719831578947435</v>
      </c>
      <c r="AE11" s="199">
        <f t="shared" si="13"/>
        <v>55.186863157894805</v>
      </c>
      <c r="AF11" s="199">
        <f t="shared" si="13"/>
        <v>53.653894736842176</v>
      </c>
      <c r="AG11" s="199">
        <f t="shared" si="13"/>
        <v>52.120926315789546</v>
      </c>
      <c r="AH11" s="199">
        <f t="shared" si="13"/>
        <v>50.587957894736917</v>
      </c>
      <c r="AI11" s="199">
        <f t="shared" si="13"/>
        <v>49.054989473684287</v>
      </c>
      <c r="AJ11" s="199">
        <f t="shared" si="13"/>
        <v>47.522021052631658</v>
      </c>
      <c r="AK11" s="199">
        <f t="shared" si="13"/>
        <v>45.989052631579028</v>
      </c>
      <c r="AL11" s="199">
        <f t="shared" si="13"/>
        <v>44.456084210526406</v>
      </c>
      <c r="AM11" s="199">
        <f t="shared" si="13"/>
        <v>42.923115789473776</v>
      </c>
      <c r="AN11" s="199">
        <f t="shared" si="13"/>
        <v>41.390147368421147</v>
      </c>
      <c r="AO11" s="200">
        <f>SUM(AC11:AN11)</f>
        <v>597.85768421052728</v>
      </c>
      <c r="AP11" s="199">
        <f t="shared" si="13"/>
        <v>39.857178947368517</v>
      </c>
      <c r="AQ11" s="199">
        <f t="shared" si="13"/>
        <v>38.324210526315881</v>
      </c>
      <c r="AR11" s="199">
        <f t="shared" si="13"/>
        <v>36.791242105263244</v>
      </c>
      <c r="AS11" s="199">
        <f t="shared" si="13"/>
        <v>35.258273684210614</v>
      </c>
      <c r="AT11" s="199">
        <f t="shared" si="13"/>
        <v>33.725305263157985</v>
      </c>
      <c r="AU11" s="199">
        <f t="shared" si="13"/>
        <v>32.192336842105348</v>
      </c>
      <c r="AV11" s="199">
        <f t="shared" si="13"/>
        <v>30.659368421052719</v>
      </c>
      <c r="AW11" s="199">
        <f t="shared" si="13"/>
        <v>29.126400000000086</v>
      </c>
      <c r="AX11" s="199">
        <f t="shared" si="13"/>
        <v>27.593431578947449</v>
      </c>
      <c r="AY11" s="199">
        <f t="shared" si="13"/>
        <v>26.060463157894819</v>
      </c>
      <c r="AZ11" s="199">
        <f t="shared" si="13"/>
        <v>24.527494736842186</v>
      </c>
      <c r="BA11" s="199">
        <f t="shared" si="13"/>
        <v>22.994526315789553</v>
      </c>
      <c r="BB11" s="200">
        <f>SUM(AP11:BA11)</f>
        <v>377.1102315789484</v>
      </c>
      <c r="BC11" s="199">
        <f t="shared" si="13"/>
        <v>21.461557894736917</v>
      </c>
      <c r="BD11" s="199">
        <f t="shared" si="13"/>
        <v>19.928589473684287</v>
      </c>
      <c r="BE11" s="199">
        <f t="shared" si="13"/>
        <v>18.395621052631657</v>
      </c>
      <c r="BF11" s="199">
        <f t="shared" si="13"/>
        <v>16.862652631579028</v>
      </c>
      <c r="BG11" s="199">
        <f t="shared" si="13"/>
        <v>15.329684210526397</v>
      </c>
      <c r="BH11" s="199">
        <f t="shared" si="13"/>
        <v>13.796715789473767</v>
      </c>
      <c r="BI11" s="199">
        <f t="shared" si="13"/>
        <v>12.263747368421136</v>
      </c>
      <c r="BJ11" s="199">
        <f t="shared" si="13"/>
        <v>10.730778947368506</v>
      </c>
      <c r="BK11" s="199">
        <f t="shared" si="13"/>
        <v>9.1978105263158731</v>
      </c>
      <c r="BL11" s="199">
        <f t="shared" si="13"/>
        <v>7.6648421052632409</v>
      </c>
      <c r="BM11" s="199">
        <f t="shared" si="13"/>
        <v>6.1318736842106105</v>
      </c>
      <c r="BN11" s="199">
        <f t="shared" si="13"/>
        <v>4.5989052631579783</v>
      </c>
      <c r="BO11" s="200">
        <f>SUM(BC11:BN11)</f>
        <v>156.36277894736935</v>
      </c>
      <c r="BP11" s="199">
        <f t="shared" ref="BP11:CA11" si="14">BP9</f>
        <v>3.0659368421053466</v>
      </c>
      <c r="BQ11" s="199">
        <f t="shared" si="14"/>
        <v>1.532968421052715</v>
      </c>
      <c r="BR11" s="199">
        <f t="shared" si="14"/>
        <v>8.355982572538778E-14</v>
      </c>
      <c r="BS11" s="199">
        <f t="shared" si="14"/>
        <v>8.355982572538778E-14</v>
      </c>
      <c r="BT11" s="199">
        <f t="shared" si="14"/>
        <v>8.355982572538778E-14</v>
      </c>
      <c r="BU11" s="199">
        <f t="shared" si="14"/>
        <v>8.355982572538778E-14</v>
      </c>
      <c r="BV11" s="199">
        <f t="shared" si="14"/>
        <v>8.355982572538778E-14</v>
      </c>
      <c r="BW11" s="199">
        <f t="shared" si="14"/>
        <v>8.355982572538778E-14</v>
      </c>
      <c r="BX11" s="199">
        <f t="shared" si="14"/>
        <v>8.355982572538778E-14</v>
      </c>
      <c r="BY11" s="199">
        <f t="shared" si="14"/>
        <v>8.355982572538778E-14</v>
      </c>
      <c r="BZ11" s="199">
        <f t="shared" si="14"/>
        <v>8.355982572538778E-14</v>
      </c>
      <c r="CA11" s="199">
        <f t="shared" si="14"/>
        <v>8.355982572538778E-14</v>
      </c>
      <c r="CB11" s="200">
        <f>SUM(BP11:CA11)</f>
        <v>4.5989052631588967</v>
      </c>
      <c r="CC11" s="199">
        <f t="shared" ref="CC11:CN11" si="15">CC9</f>
        <v>8.355982572538778E-14</v>
      </c>
      <c r="CD11" s="199">
        <f t="shared" si="15"/>
        <v>8.355982572538778E-14</v>
      </c>
      <c r="CE11" s="199">
        <f t="shared" si="15"/>
        <v>8.355982572538778E-14</v>
      </c>
      <c r="CF11" s="199">
        <f t="shared" si="15"/>
        <v>8.355982572538778E-14</v>
      </c>
      <c r="CG11" s="199">
        <f t="shared" si="15"/>
        <v>8.355982572538778E-14</v>
      </c>
      <c r="CH11" s="199">
        <f t="shared" si="15"/>
        <v>8.355982572538778E-14</v>
      </c>
      <c r="CI11" s="199">
        <f t="shared" si="15"/>
        <v>8.355982572538778E-14</v>
      </c>
      <c r="CJ11" s="199">
        <f t="shared" si="15"/>
        <v>8.355982572538778E-14</v>
      </c>
      <c r="CK11" s="199">
        <f t="shared" si="15"/>
        <v>8.355982572538778E-14</v>
      </c>
      <c r="CL11" s="199">
        <f t="shared" si="15"/>
        <v>8.355982572538778E-14</v>
      </c>
      <c r="CM11" s="199">
        <f t="shared" si="15"/>
        <v>8.355982572538778E-14</v>
      </c>
      <c r="CN11" s="199">
        <f t="shared" si="15"/>
        <v>8.355982572538778E-14</v>
      </c>
      <c r="CO11" s="200">
        <f>SUM(CC11:CN11)</f>
        <v>1.0027179087046534E-12</v>
      </c>
      <c r="CP11" s="201" t="s">
        <v>58</v>
      </c>
    </row>
    <row r="12" spans="1:94">
      <c r="A12" s="193" t="s">
        <v>16</v>
      </c>
      <c r="B12" s="198">
        <f>CO12</f>
        <v>8.3559825725387782E-12</v>
      </c>
      <c r="C12" s="199">
        <f>C7</f>
        <v>0</v>
      </c>
      <c r="D12" s="199">
        <f>C12+D7-D10+D8</f>
        <v>4262.3999999999996</v>
      </c>
      <c r="E12" s="199">
        <f>D12+E7-E10+E8</f>
        <v>8524.7999999999993</v>
      </c>
      <c r="F12" s="199">
        <f>E12+F7-F10+F8</f>
        <v>8524.7999999999993</v>
      </c>
      <c r="G12" s="199">
        <f t="shared" ref="G12:M12" si="16">F12+G7-G10+G8</f>
        <v>8737.92</v>
      </c>
      <c r="H12" s="199">
        <f>G12+H7-H10+H8</f>
        <v>8584.6231578947372</v>
      </c>
      <c r="I12" s="199">
        <f t="shared" si="16"/>
        <v>8431.3263157894744</v>
      </c>
      <c r="J12" s="199">
        <f t="shared" si="16"/>
        <v>8278.0294736842116</v>
      </c>
      <c r="K12" s="199">
        <f t="shared" si="16"/>
        <v>8124.7326315789487</v>
      </c>
      <c r="L12" s="199">
        <f t="shared" si="16"/>
        <v>7971.4357894736859</v>
      </c>
      <c r="M12" s="199">
        <f t="shared" si="16"/>
        <v>7818.138947368423</v>
      </c>
      <c r="N12" s="199">
        <f>M12+N7-N10+N8</f>
        <v>7664.8421052631602</v>
      </c>
      <c r="O12" s="200">
        <f>N12</f>
        <v>7664.8421052631602</v>
      </c>
      <c r="P12" s="199">
        <f>O12+P7-P10+P8</f>
        <v>7511.5452631578974</v>
      </c>
      <c r="Q12" s="199">
        <f t="shared" ref="Q12:Z12" si="17">P12+Q7-Q10+Q8</f>
        <v>7358.2484210526345</v>
      </c>
      <c r="R12" s="199">
        <f t="shared" si="17"/>
        <v>7204.9515789473717</v>
      </c>
      <c r="S12" s="199">
        <f t="shared" si="17"/>
        <v>7051.6547368421088</v>
      </c>
      <c r="T12" s="199">
        <f t="shared" si="17"/>
        <v>6898.357894736846</v>
      </c>
      <c r="U12" s="199">
        <f t="shared" si="17"/>
        <v>6745.0610526315832</v>
      </c>
      <c r="V12" s="199">
        <f t="shared" si="17"/>
        <v>6591.7642105263203</v>
      </c>
      <c r="W12" s="199">
        <f t="shared" si="17"/>
        <v>6438.4673684210575</v>
      </c>
      <c r="X12" s="199">
        <f t="shared" si="17"/>
        <v>6285.1705263157946</v>
      </c>
      <c r="Y12" s="199">
        <f t="shared" si="17"/>
        <v>6131.8736842105318</v>
      </c>
      <c r="Z12" s="199">
        <f t="shared" si="17"/>
        <v>5978.576842105269</v>
      </c>
      <c r="AA12" s="199">
        <f>Z12+AA7-AA10+AA8</f>
        <v>5825.2800000000061</v>
      </c>
      <c r="AB12" s="200">
        <f>AA12</f>
        <v>5825.2800000000061</v>
      </c>
      <c r="AC12" s="199">
        <f>AB12+AC7-AC10+AC8</f>
        <v>5671.9831578947433</v>
      </c>
      <c r="AD12" s="199">
        <f t="shared" ref="AD12:AN12" si="18">AC12+AD7-AD10+AD8</f>
        <v>5518.6863157894804</v>
      </c>
      <c r="AE12" s="199">
        <f t="shared" si="18"/>
        <v>5365.3894736842176</v>
      </c>
      <c r="AF12" s="199">
        <f t="shared" si="18"/>
        <v>5212.0926315789548</v>
      </c>
      <c r="AG12" s="199">
        <f t="shared" si="18"/>
        <v>5058.7957894736919</v>
      </c>
      <c r="AH12" s="199">
        <f t="shared" si="18"/>
        <v>4905.4989473684291</v>
      </c>
      <c r="AI12" s="199">
        <f t="shared" si="18"/>
        <v>4752.2021052631662</v>
      </c>
      <c r="AJ12" s="199">
        <f t="shared" si="18"/>
        <v>4598.9052631579034</v>
      </c>
      <c r="AK12" s="199">
        <f t="shared" si="18"/>
        <v>4445.6084210526406</v>
      </c>
      <c r="AL12" s="199">
        <f t="shared" si="18"/>
        <v>4292.3115789473777</v>
      </c>
      <c r="AM12" s="199">
        <f t="shared" si="18"/>
        <v>4139.0147368421149</v>
      </c>
      <c r="AN12" s="199">
        <f t="shared" si="18"/>
        <v>3985.7178947368516</v>
      </c>
      <c r="AO12" s="200">
        <f>AN12</f>
        <v>3985.7178947368516</v>
      </c>
      <c r="AP12" s="199">
        <f>AO12+AP7-AP10+AP8</f>
        <v>3832.4210526315883</v>
      </c>
      <c r="AQ12" s="199">
        <f t="shared" ref="AQ12:BA12" si="19">AP12+AQ7-AQ10+AQ8</f>
        <v>3679.124210526325</v>
      </c>
      <c r="AR12" s="199">
        <f t="shared" si="19"/>
        <v>3525.8273684210617</v>
      </c>
      <c r="AS12" s="199">
        <f t="shared" si="19"/>
        <v>3372.5305263157984</v>
      </c>
      <c r="AT12" s="199">
        <f t="shared" si="19"/>
        <v>3219.2336842105351</v>
      </c>
      <c r="AU12" s="199">
        <f t="shared" si="19"/>
        <v>3065.9368421052718</v>
      </c>
      <c r="AV12" s="199">
        <f t="shared" si="19"/>
        <v>2912.6400000000085</v>
      </c>
      <c r="AW12" s="199">
        <f t="shared" si="19"/>
        <v>2759.3431578947452</v>
      </c>
      <c r="AX12" s="199">
        <f t="shared" si="19"/>
        <v>2606.0463157894819</v>
      </c>
      <c r="AY12" s="199">
        <f t="shared" si="19"/>
        <v>2452.7494736842186</v>
      </c>
      <c r="AZ12" s="199">
        <f t="shared" si="19"/>
        <v>2299.4526315789553</v>
      </c>
      <c r="BA12" s="199">
        <f t="shared" si="19"/>
        <v>2146.155789473692</v>
      </c>
      <c r="BB12" s="200">
        <f>BA12</f>
        <v>2146.155789473692</v>
      </c>
      <c r="BC12" s="199">
        <f>BB12+BC7-BC10+BC8</f>
        <v>1992.858947368429</v>
      </c>
      <c r="BD12" s="199">
        <f t="shared" ref="BD12:BN12" si="20">BC12+BD7-BD10+BD8</f>
        <v>1839.5621052631659</v>
      </c>
      <c r="BE12" s="199">
        <f t="shared" si="20"/>
        <v>1686.2652631579028</v>
      </c>
      <c r="BF12" s="199">
        <f t="shared" si="20"/>
        <v>1532.9684210526398</v>
      </c>
      <c r="BG12" s="199">
        <f t="shared" si="20"/>
        <v>1379.6715789473767</v>
      </c>
      <c r="BH12" s="199">
        <f t="shared" si="20"/>
        <v>1226.3747368421136</v>
      </c>
      <c r="BI12" s="199">
        <f t="shared" si="20"/>
        <v>1073.0778947368506</v>
      </c>
      <c r="BJ12" s="199">
        <f t="shared" si="20"/>
        <v>919.78105263158739</v>
      </c>
      <c r="BK12" s="199">
        <f t="shared" si="20"/>
        <v>766.4842105263242</v>
      </c>
      <c r="BL12" s="199">
        <f t="shared" si="20"/>
        <v>613.18736842106102</v>
      </c>
      <c r="BM12" s="199">
        <f t="shared" si="20"/>
        <v>459.89052631579784</v>
      </c>
      <c r="BN12" s="199">
        <f t="shared" si="20"/>
        <v>306.59368421053466</v>
      </c>
      <c r="BO12" s="200">
        <f>BN12</f>
        <v>306.59368421053466</v>
      </c>
      <c r="BP12" s="199">
        <f t="shared" ref="BP12:CA12" si="21">BO12+BP7-BP10+BP8</f>
        <v>153.29684210527151</v>
      </c>
      <c r="BQ12" s="199">
        <f t="shared" si="21"/>
        <v>8.3559825725387782E-12</v>
      </c>
      <c r="BR12" s="199">
        <f t="shared" si="21"/>
        <v>8.3559825725387782E-12</v>
      </c>
      <c r="BS12" s="199">
        <f t="shared" si="21"/>
        <v>8.3559825725387782E-12</v>
      </c>
      <c r="BT12" s="199">
        <f t="shared" si="21"/>
        <v>8.3559825725387782E-12</v>
      </c>
      <c r="BU12" s="199">
        <f t="shared" si="21"/>
        <v>8.3559825725387782E-12</v>
      </c>
      <c r="BV12" s="199">
        <f t="shared" si="21"/>
        <v>8.3559825725387782E-12</v>
      </c>
      <c r="BW12" s="199">
        <f t="shared" si="21"/>
        <v>8.3559825725387782E-12</v>
      </c>
      <c r="BX12" s="199">
        <f t="shared" si="21"/>
        <v>8.3559825725387782E-12</v>
      </c>
      <c r="BY12" s="199">
        <f t="shared" si="21"/>
        <v>8.3559825725387782E-12</v>
      </c>
      <c r="BZ12" s="199">
        <f t="shared" si="21"/>
        <v>8.3559825725387782E-12</v>
      </c>
      <c r="CA12" s="199">
        <f t="shared" si="21"/>
        <v>8.3559825725387782E-12</v>
      </c>
      <c r="CB12" s="200">
        <f>CA12</f>
        <v>8.3559825725387782E-12</v>
      </c>
      <c r="CC12" s="199">
        <f t="shared" ref="CC12:CN12" si="22">CB12+CC7-CC10+CC8</f>
        <v>8.3559825725387782E-12</v>
      </c>
      <c r="CD12" s="199">
        <f t="shared" si="22"/>
        <v>8.3559825725387782E-12</v>
      </c>
      <c r="CE12" s="199">
        <f t="shared" si="22"/>
        <v>8.3559825725387782E-12</v>
      </c>
      <c r="CF12" s="199">
        <f t="shared" si="22"/>
        <v>8.3559825725387782E-12</v>
      </c>
      <c r="CG12" s="199">
        <f t="shared" si="22"/>
        <v>8.3559825725387782E-12</v>
      </c>
      <c r="CH12" s="199">
        <f t="shared" si="22"/>
        <v>8.3559825725387782E-12</v>
      </c>
      <c r="CI12" s="199">
        <f t="shared" si="22"/>
        <v>8.3559825725387782E-12</v>
      </c>
      <c r="CJ12" s="199">
        <f t="shared" si="22"/>
        <v>8.3559825725387782E-12</v>
      </c>
      <c r="CK12" s="199">
        <f t="shared" si="22"/>
        <v>8.3559825725387782E-12</v>
      </c>
      <c r="CL12" s="199">
        <f t="shared" si="22"/>
        <v>8.3559825725387782E-12</v>
      </c>
      <c r="CM12" s="199">
        <f t="shared" si="22"/>
        <v>8.3559825725387782E-12</v>
      </c>
      <c r="CN12" s="199">
        <f t="shared" si="22"/>
        <v>8.3559825725387782E-12</v>
      </c>
      <c r="CO12" s="200">
        <f>CN12</f>
        <v>8.3559825725387782E-12</v>
      </c>
      <c r="CP12" s="205">
        <f>MAX(C12:BO12)</f>
        <v>8737.92</v>
      </c>
    </row>
    <row r="13" spans="1:94">
      <c r="A13" s="182" t="s">
        <v>78</v>
      </c>
      <c r="B13" s="182">
        <f>Исх!C28*12-Исх!C29</f>
        <v>57</v>
      </c>
      <c r="CP13" s="185"/>
    </row>
    <row r="16" spans="1:94" hidden="1">
      <c r="A16" s="206">
        <f>B7+B8-B10</f>
        <v>0</v>
      </c>
    </row>
    <row r="17" spans="1:1" hidden="1">
      <c r="A17" s="206">
        <f>B9-B8-B11</f>
        <v>0</v>
      </c>
    </row>
  </sheetData>
  <mergeCells count="7">
    <mergeCell ref="CC5:CO5"/>
    <mergeCell ref="C5:O5"/>
    <mergeCell ref="P5:AB5"/>
    <mergeCell ref="AC5:AO5"/>
    <mergeCell ref="AP5:BB5"/>
    <mergeCell ref="BC5:BO5"/>
    <mergeCell ref="BP5:CB5"/>
  </mergeCells>
  <pageMargins left="0.35433070866141736" right="0.19685039370078741" top="0.19685039370078741" bottom="0.31496062992125984" header="0.19685039370078741" footer="0.23622047244094491"/>
  <pageSetup paperSize="9" scale="110" orientation="landscape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1-Ф3</vt:lpstr>
      <vt:lpstr>2-ф2</vt:lpstr>
      <vt:lpstr>3-Баланс</vt:lpstr>
      <vt:lpstr>Исх</vt:lpstr>
      <vt:lpstr>Дох</vt:lpstr>
      <vt:lpstr>Расх перем</vt:lpstr>
      <vt:lpstr>ФОТ</vt:lpstr>
      <vt:lpstr>Пост</vt:lpstr>
      <vt:lpstr>кр</vt:lpstr>
      <vt:lpstr>Инв</vt:lpstr>
      <vt:lpstr>безубыт</vt:lpstr>
      <vt:lpstr>для текста</vt:lpstr>
      <vt:lpstr>'2-ф2'!Заголовки_для_печати</vt:lpstr>
      <vt:lpstr>'3-Баланс'!Заголовки_для_печати</vt:lpstr>
      <vt:lpstr>Инв!Заголовки_для_печати</vt:lpstr>
      <vt:lpstr>кр!Заголовки_для_печати</vt:lpstr>
      <vt:lpstr>ФОТ!Заголовки_для_печати</vt:lpstr>
      <vt:lpstr>ндс</vt:lpstr>
      <vt:lpstr>'1-Ф3'!Область_печати</vt:lpstr>
      <vt:lpstr>'2-ф2'!Область_печати</vt:lpstr>
      <vt:lpstr>'3-Баланс'!Область_печати</vt:lpstr>
      <vt:lpstr>'для текста'!Область_печати</vt:lpstr>
      <vt:lpstr>Инв!Область_печати</vt:lpstr>
      <vt:lpstr>кр!Область_печати</vt:lpstr>
    </vt:vector>
  </TitlesOfParts>
  <Company>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creator>m_anfinogenov</dc:creator>
  <cp:lastModifiedBy>HP</cp:lastModifiedBy>
  <cp:lastPrinted>2012-01-05T04:51:16Z</cp:lastPrinted>
  <dcterms:created xsi:type="dcterms:W3CDTF">2006-03-01T15:11:19Z</dcterms:created>
  <dcterms:modified xsi:type="dcterms:W3CDTF">2012-01-23T10:20:15Z</dcterms:modified>
</cp:coreProperties>
</file>