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9" activeTab="1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Производство" sheetId="6" r:id="rId6"/>
    <sheet name="Расх перем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5">#REF!</definedName>
    <definedName name="Ed." localSheetId="6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5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5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5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5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5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5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5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5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5">'[59]Главн'!$C$35</definedName>
    <definedName name="inf">'[21]Главн'!$C$35</definedName>
    <definedName name="kpn1" localSheetId="9">'[32]Главн'!$D$46</definedName>
    <definedName name="kpn1" localSheetId="5">'[59]Главн'!$D$46</definedName>
    <definedName name="kpn1">'[21]Главн'!$D$46</definedName>
    <definedName name="kpn2" localSheetId="9">'[32]Главн'!$E$46</definedName>
    <definedName name="kpn2" localSheetId="5">'[59]Главн'!$E$46</definedName>
    <definedName name="kpn2">'[21]Главн'!$E$46</definedName>
    <definedName name="kpn3" localSheetId="9">'[32]Главн'!$F$46</definedName>
    <definedName name="kpn3" localSheetId="5">'[59]Главн'!$F$46</definedName>
    <definedName name="kpn3">'[21]Главн'!$F$46</definedName>
    <definedName name="kpn4" localSheetId="9">'[32]Главн'!$G$46</definedName>
    <definedName name="kpn4" localSheetId="5">'[59]Главн'!$G$46</definedName>
    <definedName name="kpn4">'[21]Главн'!$G$46</definedName>
    <definedName name="kpn5" localSheetId="9">'[32]Главн'!$H$46</definedName>
    <definedName name="kpn5" localSheetId="5">'[59]Главн'!$H$46</definedName>
    <definedName name="kpn5">'[21]Главн'!$H$46</definedName>
    <definedName name="kpn6" localSheetId="9">'[32]Главн'!$I$46</definedName>
    <definedName name="kpn6" localSheetId="5">'[59]Главн'!$I$46</definedName>
    <definedName name="kpn6">'[21]Главн'!$I$46</definedName>
    <definedName name="kpn7" localSheetId="9">'[32]Главн'!$J$46</definedName>
    <definedName name="kpn7" localSheetId="5">'[59]Главн'!$J$46</definedName>
    <definedName name="kpn7">'[21]Главн'!$J$46</definedName>
    <definedName name="kpn8" localSheetId="9">'[32]Главн'!$K$46</definedName>
    <definedName name="kpn8" localSheetId="5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5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5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5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5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5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5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5">'[59]Главн'!$C$2</definedName>
    <definedName name="name">'[21]Главн'!$C$2</definedName>
    <definedName name="nds1" localSheetId="9">'[32]Главн'!$D$42</definedName>
    <definedName name="nds1" localSheetId="5">'[59]Главн'!$D$42</definedName>
    <definedName name="nds1">'[21]Главн'!$D$42</definedName>
    <definedName name="nds2" localSheetId="9">'[32]Главн'!$E$42</definedName>
    <definedName name="nds2" localSheetId="5">'[59]Главн'!$E$42</definedName>
    <definedName name="nds2">'[21]Главн'!$E$42</definedName>
    <definedName name="nds3" localSheetId="9">'[32]Главн'!$F$42</definedName>
    <definedName name="nds3" localSheetId="5">'[59]Главн'!$F$42</definedName>
    <definedName name="nds3">'[21]Главн'!$F$42</definedName>
    <definedName name="nds4" localSheetId="9">'[32]Главн'!$G$42</definedName>
    <definedName name="nds4" localSheetId="5">'[59]Главн'!$G$42</definedName>
    <definedName name="nds4">'[21]Главн'!$G$42</definedName>
    <definedName name="nds5" localSheetId="9">'[32]Главн'!$H$42</definedName>
    <definedName name="nds5" localSheetId="5">'[59]Главн'!$H$42</definedName>
    <definedName name="nds5">'[21]Главн'!$H$42</definedName>
    <definedName name="nds6" localSheetId="9">'[32]Главн'!$I$42</definedName>
    <definedName name="nds6" localSheetId="5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5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5">'[7]Свод'!#REF!</definedName>
    <definedName name="RUR" localSheetId="6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5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5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5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5">'[61]объекты обществаКокшетау'!#REF!</definedName>
    <definedName name="баланс_стоимость" localSheetId="6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5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5">#REF!</definedName>
    <definedName name="ВалП1" localSheetId="6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5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5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5">'[61]объекты обществаКокшетау'!#REF!</definedName>
    <definedName name="всего_долл" localSheetId="6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5">#REF!</definedName>
    <definedName name="долл" localSheetId="6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5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5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5">#REF!</definedName>
    <definedName name="дсша" localSheetId="6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5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5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5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5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5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5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5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5">#REF!</definedName>
    <definedName name="Инт" localSheetId="6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5">'[61]объекты обществаКокшетау'!#REF!</definedName>
    <definedName name="итого_в_долл" localSheetId="6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5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5">#REF!</definedName>
    <definedName name="кндс" localSheetId="6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5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5">#REF!</definedName>
    <definedName name="компресс" localSheetId="6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5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5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5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5">'[61]объекты обществаКокшетау'!#REF!</definedName>
    <definedName name="курс_НБРК" localSheetId="6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5">#REF!</definedName>
    <definedName name="Курс1" localSheetId="6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5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5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5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5">#REF!</definedName>
    <definedName name="металлоформы" localSheetId="6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5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5">'[58]Исх'!$C$7</definedName>
    <definedName name="НДС" localSheetId="7">'ФОТ'!#REF!</definedName>
    <definedName name="ндс">'Исх'!$C$18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5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'1-Ф3'!$A$1:$AU$35</definedName>
    <definedName name="_xlnm.Print_Area" localSheetId="1">'2-ф2'!$A$1:$AU$28</definedName>
    <definedName name="_xlnm.Print_Area" localSheetId="2">'3-Баланс'!$A$1:$AU$26</definedName>
    <definedName name="_xlnm.Print_Area" localSheetId="10">'Инв'!$A$1:$R$21</definedName>
    <definedName name="_xlnm.Print_Area" localSheetId="3">'Исх'!$A$1:$M$50</definedName>
    <definedName name="_xlnm.Print_Area" localSheetId="9">'кр'!$A$1:$DO$29</definedName>
    <definedName name="_xlnm.Print_Area" localSheetId="12">'Осн.пок-ли'!$A$1:$J$67</definedName>
    <definedName name="_xlnm.Print_Area" localSheetId="8">'Пост'!$A$1:$V$50</definedName>
    <definedName name="_xlnm.Print_Area" localSheetId="5">'Производство'!$A$1:$AU$18</definedName>
    <definedName name="_xlnm.Print_Area" localSheetId="6">'Расх перем'!$A$1:$E$21</definedName>
    <definedName name="_xlnm.Print_Area" localSheetId="7">'ФОТ'!$A$1:$K$22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5">'Производство'!#REF!</definedName>
    <definedName name="обм" localSheetId="6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5">#REF!</definedName>
    <definedName name="оборудование_ЖД" localSheetId="6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5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5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5">#REF!</definedName>
    <definedName name="подстанция" localSheetId="6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5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5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5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5">#REF!</definedName>
    <definedName name="рбу" localSheetId="6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5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5">#REF!</definedName>
    <definedName name="руб" localSheetId="6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5">'Производство'!#REF!</definedName>
    <definedName name="себ" localSheetId="6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5">#REF!</definedName>
    <definedName name="склад_продукции" localSheetId="6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5">#REF!</definedName>
    <definedName name="склад_цем" localSheetId="6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5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5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5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5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5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5">#REF!</definedName>
    <definedName name="спецодежда" localSheetId="6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5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5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5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5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5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5">'[61]объекты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5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5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5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5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5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5">#REF!</definedName>
    <definedName name="тг" localSheetId="6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5">#REF!</definedName>
    <definedName name="ТовРеал1" localSheetId="6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5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5">'[9]Дох'!#REF!</definedName>
    <definedName name="Цена_бобов" localSheetId="6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5">#REF!</definedName>
    <definedName name="цех_пби" localSheetId="6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1.xml><?xml version="1.0" encoding="utf-8"?>
<comments xmlns="http://schemas.openxmlformats.org/spreadsheetml/2006/main">
  <authors>
    <author>МСБ консалтинг</author>
  </authors>
  <commentList>
    <comment ref="O13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запас на 1,5-2 месяца</t>
        </r>
      </text>
    </comment>
  </commentList>
</comments>
</file>

<file path=xl/sharedStrings.xml><?xml version="1.0" encoding="utf-8"?>
<sst xmlns="http://schemas.openxmlformats.org/spreadsheetml/2006/main" count="580" uniqueCount="358">
  <si>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</si>
  <si>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</si>
  <si>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</si>
  <si>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</si>
  <si>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</si>
  <si>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</si>
  <si>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</si>
  <si>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</si>
  <si>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</si>
  <si>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</si>
  <si>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</si>
  <si>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</si>
  <si>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</si>
  <si>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</si>
  <si>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</si>
  <si>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</si>
  <si>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</si>
  <si>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</si>
  <si>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</si>
  <si>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</si>
  <si>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</si>
  <si>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</si>
  <si>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</si>
  <si>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</si>
  <si>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</si>
  <si>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</si>
  <si>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</si>
  <si>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</si>
  <si>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</si>
  <si>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</si>
  <si>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</si>
  <si>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</si>
  <si>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</si>
  <si>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</si>
  <si>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</si>
  <si>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</si>
  <si>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</si>
  <si>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</si>
  <si>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</si>
  <si>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</si>
  <si>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</si>
  <si>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</si>
  <si>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</si>
  <si>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</si>
  <si>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</si>
  <si>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</si>
  <si>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</si>
  <si>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</si>
  <si>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</si>
  <si>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</si>
  <si>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</si>
  <si>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</si>
  <si>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</si>
  <si>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</si>
  <si>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</si>
  <si>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</si>
  <si>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</si>
  <si>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</si>
  <si>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</si>
  <si>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</si>
  <si>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</si>
  <si>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</si>
  <si>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</si>
  <si>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</si>
  <si>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</si>
  <si>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</si>
  <si>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</si>
  <si>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</si>
  <si>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</si>
  <si>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</si>
  <si>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</si>
  <si>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</si>
  <si>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</si>
  <si>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</si>
  <si>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</si>
  <si>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</si>
  <si>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</si>
  <si>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</si>
  <si>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</si>
  <si>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</si>
  <si>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</si>
  <si>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</si>
  <si>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</si>
  <si>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</si>
  <si>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</si>
  <si>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</si>
  <si>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</si>
  <si>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</si>
  <si>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</si>
  <si>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</si>
  <si>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</si>
  <si>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</si>
  <si>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</si>
  <si>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</si>
  <si>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</si>
  <si>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</si>
  <si>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</si>
  <si>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</si>
  <si>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</si>
  <si>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</si>
  <si>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Обслуживание и ремонт ОС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</si>
  <si>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</si>
  <si>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</si>
  <si>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</si>
  <si>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</si>
  <si>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</si>
  <si>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</si>
  <si>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</si>
  <si>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</si>
  <si>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</si>
  <si>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</si>
  <si>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</si>
  <si>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</si>
  <si>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</si>
  <si>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</si>
  <si>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</si>
  <si>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</si>
  <si>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</si>
  <si>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</si>
  <si>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</si>
  <si>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</si>
  <si>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</si>
  <si>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</si>
  <si>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</si>
  <si>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</si>
  <si>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</si>
  <si>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</si>
  <si>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</si>
  <si>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</si>
  <si>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</si>
  <si>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</si>
  <si>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</si>
  <si>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</si>
  <si>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</si>
  <si>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</si>
  <si>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</si>
  <si>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</si>
  <si>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</si>
  <si>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</si>
  <si>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</si>
  <si>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</si>
  <si>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</si>
  <si>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</si>
  <si>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</si>
  <si>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</si>
  <si>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</si>
  <si>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</si>
  <si>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</si>
  <si>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</si>
  <si>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</si>
  <si>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</si>
  <si>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</si>
  <si>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</si>
  <si>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</si>
  <si>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</si>
  <si>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</si>
  <si>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</si>
  <si>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</si>
  <si>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</si>
  <si>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</si>
  <si>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</si>
  <si>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</si>
  <si>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</si>
  <si>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</si>
  <si>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</si>
  <si>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</si>
  <si>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</si>
  <si>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</si>
  <si>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</si>
  <si>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</si>
  <si>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</si>
  <si>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</si>
  <si>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</si>
  <si>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</si>
  <si>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</si>
  <si>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</si>
  <si>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</si>
  <si>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</si>
  <si>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</si>
  <si>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</si>
  <si>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</si>
  <si>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</si>
  <si>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</si>
  <si>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</si>
  <si>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</si>
  <si>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</si>
  <si>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Величина налоговых поступлений за 7 лет, тыс.тг.</t>
  </si>
  <si>
    <t>Налоги и обязательные платежи от ФОТ</t>
  </si>
  <si>
    <t>Вид налога</t>
  </si>
  <si>
    <t>Сумма, тыс.тг.</t>
  </si>
  <si>
    <t>Техника</t>
  </si>
  <si>
    <t>Продукция</t>
  </si>
  <si>
    <t>Производство</t>
  </si>
  <si>
    <t>Срок погашения, лет</t>
  </si>
  <si>
    <t>Налог на имущество и транспорт</t>
  </si>
  <si>
    <t>Переменные расходы</t>
  </si>
  <si>
    <t>Производительность</t>
  </si>
  <si>
    <t>Цены на продукцию</t>
  </si>
  <si>
    <t>Загрузка, %</t>
  </si>
  <si>
    <t>Сырье и материалы</t>
  </si>
  <si>
    <t>Мощность, %</t>
  </si>
  <si>
    <t>дн./мес.</t>
  </si>
  <si>
    <t>Доход до выплаты налогов</t>
  </si>
  <si>
    <t>Наименование материала</t>
  </si>
  <si>
    <t>Расходы, тыс.тг.</t>
  </si>
  <si>
    <t>Источник финансирования, тыс.тг.</t>
  </si>
  <si>
    <t>Примечание</t>
  </si>
  <si>
    <t>Доля собственного участия</t>
  </si>
  <si>
    <t>Время работы в мес.</t>
  </si>
  <si>
    <t>КПН</t>
  </si>
  <si>
    <t>Месячная производительность</t>
  </si>
  <si>
    <t>Цены</t>
  </si>
  <si>
    <t>Коммунальные расходы</t>
  </si>
  <si>
    <t>Корпоративный подоходный налог</t>
  </si>
  <si>
    <t>НК РК</t>
  </si>
  <si>
    <t>Ед.изм.</t>
  </si>
  <si>
    <t>с НДС</t>
  </si>
  <si>
    <t>Цена, тенге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</si>
  <si>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</si>
  <si>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</si>
  <si>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</si>
  <si>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</si>
  <si>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</si>
  <si>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</si>
  <si>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</si>
  <si>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</si>
  <si>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</si>
  <si>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</si>
  <si>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</si>
  <si>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</si>
  <si>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</si>
  <si>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исходя из дневной производительности и дней работы</t>
  </si>
  <si>
    <t>Производство и реализация</t>
  </si>
  <si>
    <t>Реализация</t>
  </si>
  <si>
    <t>Остаток продукции на конец</t>
  </si>
  <si>
    <t>контроль</t>
  </si>
  <si>
    <t>Оператор</t>
  </si>
  <si>
    <t>Доля в выручке</t>
  </si>
  <si>
    <t>Итого себестоимость полная</t>
  </si>
  <si>
    <t>Постоянные расходы на единицу</t>
  </si>
  <si>
    <t>Постоянные расходы всего, тыс.тг.</t>
  </si>
  <si>
    <t>Контроль</t>
  </si>
  <si>
    <t>кВт</t>
  </si>
  <si>
    <t>Фактор сезонности продаж</t>
  </si>
  <si>
    <t>Директор</t>
  </si>
  <si>
    <t>Рентабельность, %</t>
  </si>
  <si>
    <t>Спецодежда, перчатки, хоз.товары</t>
  </si>
  <si>
    <t>Услуги банка</t>
  </si>
  <si>
    <t>Канц.товары</t>
  </si>
  <si>
    <t>Незавершенное строительство</t>
  </si>
  <si>
    <t>Аннуитет</t>
  </si>
  <si>
    <t>Погашение ОД равными долями</t>
  </si>
  <si>
    <t>аннуитет</t>
  </si>
  <si>
    <t>Финансовые показатели</t>
  </si>
  <si>
    <t>Проведение маркетингового исследования и разработка бизнес-плана</t>
  </si>
  <si>
    <t>Первоначальные инвестиции</t>
  </si>
  <si>
    <t>Постоянные расходы в год</t>
  </si>
  <si>
    <t>тг./кВт*ч с НДС</t>
  </si>
  <si>
    <t>Продолжительность 1 смены</t>
  </si>
  <si>
    <t>час</t>
  </si>
  <si>
    <t>кг</t>
  </si>
  <si>
    <t>Прибыль, тг./ед.</t>
  </si>
  <si>
    <t>Количество смен</t>
  </si>
  <si>
    <t>Разнорабочий</t>
  </si>
  <si>
    <t>Инженер-технолог</t>
  </si>
  <si>
    <t>смен/сутки</t>
  </si>
  <si>
    <t>Зав.складом</t>
  </si>
  <si>
    <t>Электроэнергия</t>
  </si>
  <si>
    <t>ДТ за оборудование</t>
  </si>
  <si>
    <t>Ввод ОС (с НДС)</t>
  </si>
  <si>
    <t>СВОД</t>
  </si>
  <si>
    <t>Транш 1</t>
  </si>
  <si>
    <t>Транш 2</t>
  </si>
  <si>
    <t>Транш 3</t>
  </si>
  <si>
    <t>Транш 4</t>
  </si>
  <si>
    <t>Основные параметры</t>
  </si>
  <si>
    <t>Параметр</t>
  </si>
  <si>
    <t>Условия кредитования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</si>
  <si>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</si>
  <si>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</si>
  <si>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</si>
  <si>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</si>
  <si>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Показатели эффективности проекта</t>
  </si>
  <si>
    <t>Планируемая программа производства</t>
  </si>
  <si>
    <t>авг</t>
  </si>
  <si>
    <t>сен</t>
  </si>
  <si>
    <t>окт</t>
  </si>
  <si>
    <t>ноя</t>
  </si>
  <si>
    <t>дек</t>
  </si>
  <si>
    <t>янв</t>
  </si>
  <si>
    <t>2013 год</t>
  </si>
  <si>
    <t>% повышения</t>
  </si>
  <si>
    <t>ведение счета + снятие наличных</t>
  </si>
  <si>
    <t>буклеты, флаера</t>
  </si>
  <si>
    <t>Услуги охранной фирмы</t>
  </si>
  <si>
    <t>1 пост</t>
  </si>
  <si>
    <t>Доля от год продаж</t>
  </si>
  <si>
    <t>В среднем</t>
  </si>
  <si>
    <t>Себестоимость, тг./ед.</t>
  </si>
  <si>
    <t>производственная</t>
  </si>
  <si>
    <t>полная</t>
  </si>
  <si>
    <t>чистая</t>
  </si>
  <si>
    <t>Цена, тг.</t>
  </si>
  <si>
    <t>НБ РК</t>
  </si>
  <si>
    <t>Курс кит.юань/тенге</t>
  </si>
  <si>
    <t>Ввод ОС (без НДС)</t>
  </si>
  <si>
    <t>300 дней в году</t>
  </si>
  <si>
    <t>Нормы, нормативы</t>
  </si>
  <si>
    <t>Обслуживающий персонал</t>
  </si>
  <si>
    <t>Мощность оборудования</t>
  </si>
  <si>
    <t>тг./кг (с НДС)</t>
  </si>
  <si>
    <t>Расход электроэнергии</t>
  </si>
  <si>
    <t>кВт*ч/мес</t>
  </si>
  <si>
    <t>7% субсидирование</t>
  </si>
  <si>
    <t>Остаток денежных средств на начало</t>
  </si>
  <si>
    <t>Собственные средства</t>
  </si>
  <si>
    <t>Инвестиции в основной капитал</t>
  </si>
  <si>
    <t>Чистый денежный поток (к изъятию), тыс.тг.</t>
  </si>
  <si>
    <t>Индекс окупаемости инвестиций (PI)</t>
  </si>
  <si>
    <t>2014 год</t>
  </si>
  <si>
    <t>Оплата за оборудование</t>
  </si>
  <si>
    <t>Начало производства</t>
  </si>
  <si>
    <t>Начало продаж</t>
  </si>
  <si>
    <t>Производственный персонал</t>
  </si>
  <si>
    <t>Доход от реализации продукции</t>
  </si>
  <si>
    <t>Себестоимость реализ. продукции</t>
  </si>
  <si>
    <t>Краска акрилатная</t>
  </si>
  <si>
    <t>Краска фасадная</t>
  </si>
  <si>
    <t>Краска для внутренних работ</t>
  </si>
  <si>
    <t>кг/час</t>
  </si>
  <si>
    <t>кг/мес</t>
  </si>
  <si>
    <t>http://www.newskaz.ru/society/20130726/5361848.html</t>
  </si>
  <si>
    <t>http://semey.all.biz/kraski-akrilovye-kraski-vodoemulsionnye-akrilovye-g206748</t>
  </si>
  <si>
    <t>тыс.кг</t>
  </si>
  <si>
    <t>Связующее (дисперсия СтА)</t>
  </si>
  <si>
    <t>Кальцитовый наполнитель (мел М-3)</t>
  </si>
  <si>
    <t>Загуститель</t>
  </si>
  <si>
    <t>Диоксид титана (рутил)</t>
  </si>
  <si>
    <t>Коалесцент</t>
  </si>
  <si>
    <t>Пеногаситель</t>
  </si>
  <si>
    <t>Диспергатор</t>
  </si>
  <si>
    <t>Тарный консервант</t>
  </si>
  <si>
    <t>Тара</t>
  </si>
  <si>
    <t>Сумма</t>
  </si>
  <si>
    <t>Мини-завод для производства водно-дисперсионных материалов ЛР-130</t>
  </si>
  <si>
    <t>Производственное помещение</t>
  </si>
  <si>
    <t>Аренда автотранспорта</t>
  </si>
  <si>
    <t>для перевозки</t>
  </si>
  <si>
    <t>1 440 кВт*ч в месяц</t>
  </si>
  <si>
    <t>Производство красок, лаков и эмалей</t>
  </si>
  <si>
    <t>Рентабельность продаж, %</t>
  </si>
  <si>
    <t>Показатель (5 год реализации проекта)</t>
  </si>
  <si>
    <t>Приобретение помещения</t>
  </si>
  <si>
    <t>Поставка и монтаж оборудования</t>
  </si>
  <si>
    <t>http://www.aquarella.ru/lkm/lr-130.html</t>
  </si>
  <si>
    <t>Тип погашения основного долга</t>
  </si>
  <si>
    <t>Доход от реализации</t>
  </si>
  <si>
    <t>Полная себестоимость</t>
  </si>
</sst>
</file>

<file path=xl/styles.xml><?xml version="1.0" encoding="utf-8"?>
<styleSheet xmlns="http://schemas.openxmlformats.org/spreadsheetml/2006/main">
  <numFmts count="5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name val="Calibri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16" fillId="0" borderId="0" xfId="71" applyFont="1" applyFill="1" applyBorder="1" applyAlignment="1">
      <alignment/>
      <protection/>
    </xf>
    <xf numFmtId="0" fontId="5" fillId="0" borderId="0" xfId="71" applyFont="1" applyFill="1" applyBorder="1">
      <alignment/>
      <protection/>
    </xf>
    <xf numFmtId="0" fontId="5" fillId="0" borderId="0" xfId="7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center"/>
      <protection/>
    </xf>
    <xf numFmtId="0" fontId="18" fillId="0" borderId="0" xfId="71" applyFont="1" applyFill="1" applyBorder="1">
      <alignment/>
      <protection/>
    </xf>
    <xf numFmtId="14" fontId="5" fillId="0" borderId="0" xfId="71" applyNumberFormat="1" applyFont="1" applyFill="1" applyBorder="1">
      <alignment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2" fontId="16" fillId="33" borderId="10" xfId="71" applyNumberFormat="1" applyFont="1" applyFill="1" applyBorder="1" applyAlignment="1">
      <alignment wrapText="1"/>
      <protection/>
    </xf>
    <xf numFmtId="3" fontId="16" fillId="33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horizontal="left" wrapText="1"/>
      <protection/>
    </xf>
    <xf numFmtId="3" fontId="16" fillId="33" borderId="10" xfId="71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1" applyFont="1" applyFill="1" applyBorder="1" applyAlignment="1">
      <alignment vertical="center"/>
      <protection/>
    </xf>
    <xf numFmtId="0" fontId="16" fillId="34" borderId="12" xfId="7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horizontal="right" vertical="center"/>
      <protection/>
    </xf>
    <xf numFmtId="0" fontId="16" fillId="0" borderId="10" xfId="71" applyFont="1" applyFill="1" applyBorder="1" applyAlignment="1">
      <alignment vertical="center" wrapText="1"/>
      <protection/>
    </xf>
    <xf numFmtId="3" fontId="16" fillId="0" borderId="10" xfId="71" applyNumberFormat="1" applyFont="1" applyFill="1" applyBorder="1" applyAlignment="1">
      <alignment horizontal="right" wrapText="1"/>
      <protection/>
    </xf>
    <xf numFmtId="0" fontId="5" fillId="0" borderId="10" xfId="71" applyFont="1" applyFill="1" applyBorder="1" applyAlignment="1">
      <alignment vertical="center" wrapText="1"/>
      <protection/>
    </xf>
    <xf numFmtId="3" fontId="5" fillId="0" borderId="10" xfId="71" applyNumberFormat="1" applyFont="1" applyFill="1" applyBorder="1" applyAlignment="1">
      <alignment horizontal="right"/>
      <protection/>
    </xf>
    <xf numFmtId="0" fontId="16" fillId="0" borderId="10" xfId="71" applyFont="1" applyFill="1" applyBorder="1" applyAlignment="1">
      <alignment horizontal="left" vertical="center" wrapText="1" indent="1"/>
      <protection/>
    </xf>
    <xf numFmtId="3" fontId="16" fillId="0" borderId="10" xfId="71" applyNumberFormat="1" applyFont="1" applyFill="1" applyBorder="1" applyAlignment="1">
      <alignment vertical="center" wrapText="1"/>
      <protection/>
    </xf>
    <xf numFmtId="9" fontId="16" fillId="0" borderId="10" xfId="71" applyNumberFormat="1" applyFont="1" applyFill="1" applyBorder="1" applyAlignment="1">
      <alignment horizontal="right" wrapText="1"/>
      <protection/>
    </xf>
    <xf numFmtId="3" fontId="5" fillId="35" borderId="10" xfId="71" applyNumberFormat="1" applyFont="1" applyFill="1" applyBorder="1" applyAlignment="1">
      <alignment horizontal="right"/>
      <protection/>
    </xf>
    <xf numFmtId="3" fontId="5" fillId="0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vertical="center" wrapText="1"/>
      <protection/>
    </xf>
    <xf numFmtId="3" fontId="16" fillId="34" borderId="10" xfId="71" applyNumberFormat="1" applyFont="1" applyFill="1" applyBorder="1" applyAlignment="1">
      <alignment horizontal="right" wrapText="1"/>
      <protection/>
    </xf>
    <xf numFmtId="3" fontId="16" fillId="0" borderId="10" xfId="71" applyNumberFormat="1" applyFont="1" applyFill="1" applyBorder="1" applyAlignment="1">
      <alignment horizontal="right"/>
      <protection/>
    </xf>
    <xf numFmtId="0" fontId="5" fillId="0" borderId="10" xfId="71" applyFont="1" applyFill="1" applyBorder="1" applyAlignment="1">
      <alignment wrapText="1"/>
      <protection/>
    </xf>
    <xf numFmtId="0" fontId="16" fillId="33" borderId="10" xfId="71" applyFont="1" applyFill="1" applyBorder="1" applyAlignment="1">
      <alignment wrapText="1"/>
      <protection/>
    </xf>
    <xf numFmtId="1" fontId="19" fillId="0" borderId="11" xfId="71" applyNumberFormat="1" applyFont="1" applyFill="1" applyBorder="1" applyAlignment="1">
      <alignment wrapText="1"/>
      <protection/>
    </xf>
    <xf numFmtId="3" fontId="20" fillId="0" borderId="10" xfId="71" applyNumberFormat="1" applyFont="1" applyFill="1" applyBorder="1" applyAlignment="1">
      <alignment horizontal="right" wrapText="1"/>
      <protection/>
    </xf>
    <xf numFmtId="3" fontId="19" fillId="0" borderId="10" xfId="71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1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5" applyNumberFormat="1" applyFont="1" applyFill="1" applyBorder="1" applyAlignment="1">
      <alignment vertical="center" wrapText="1"/>
      <protection/>
    </xf>
    <xf numFmtId="172" fontId="5" fillId="0" borderId="10" xfId="65" applyNumberFormat="1" applyFont="1" applyFill="1" applyBorder="1" applyAlignment="1">
      <alignment horizontal="right" vertical="center" wrapText="1"/>
      <protection/>
    </xf>
    <xf numFmtId="0" fontId="5" fillId="0" borderId="0" xfId="69" applyFont="1" applyFill="1">
      <alignment/>
      <protection/>
    </xf>
    <xf numFmtId="0" fontId="16" fillId="0" borderId="10" xfId="71" applyFont="1" applyFill="1" applyBorder="1" applyAlignment="1">
      <alignment vertical="center"/>
      <protection/>
    </xf>
    <xf numFmtId="3" fontId="16" fillId="35" borderId="10" xfId="71" applyNumberFormat="1" applyFont="1" applyFill="1" applyBorder="1" applyAlignment="1">
      <alignment horizontal="right" wrapText="1"/>
      <protection/>
    </xf>
    <xf numFmtId="172" fontId="16" fillId="0" borderId="10" xfId="71" applyNumberFormat="1" applyFont="1" applyFill="1" applyBorder="1" applyAlignment="1">
      <alignment horizontal="right" vertical="center"/>
      <protection/>
    </xf>
    <xf numFmtId="172" fontId="16" fillId="0" borderId="10" xfId="7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7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7" applyFont="1">
      <alignment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3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3" fontId="5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top"/>
      <protection/>
    </xf>
    <xf numFmtId="0" fontId="5" fillId="0" borderId="11" xfId="71" applyFont="1" applyFill="1" applyBorder="1" applyAlignment="1">
      <alignment horizontal="left" vertical="top" wrapText="1" shrinkToFit="1"/>
      <protection/>
    </xf>
    <xf numFmtId="172" fontId="16" fillId="0" borderId="10" xfId="71" applyNumberFormat="1" applyFont="1" applyFill="1" applyBorder="1" applyAlignment="1">
      <alignment horizontal="center" vertical="top"/>
      <protection/>
    </xf>
    <xf numFmtId="172" fontId="16" fillId="0" borderId="14" xfId="71" applyNumberFormat="1" applyFont="1" applyFill="1" applyBorder="1" applyAlignment="1">
      <alignment horizontal="center" vertical="top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21" fillId="0" borderId="0" xfId="71" applyFont="1" applyFill="1" applyBorder="1" applyAlignment="1">
      <alignment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1" applyFont="1" applyFill="1" applyBorder="1" applyAlignment="1">
      <alignment horizontal="right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5" fillId="0" borderId="10" xfId="68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2" applyFont="1" applyFill="1" applyBorder="1" applyAlignment="1">
      <alignment horizontal="left" wrapText="1" shrinkToFit="1"/>
      <protection/>
    </xf>
    <xf numFmtId="0" fontId="5" fillId="0" borderId="0" xfId="72" applyFont="1" applyFill="1" applyBorder="1" applyAlignment="1">
      <alignment wrapText="1" shrinkToFit="1"/>
      <protection/>
    </xf>
    <xf numFmtId="3" fontId="5" fillId="0" borderId="0" xfId="72" applyNumberFormat="1" applyFont="1" applyFill="1" applyBorder="1" applyAlignment="1">
      <alignment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0" fontId="16" fillId="34" borderId="14" xfId="72" applyFont="1" applyFill="1" applyBorder="1" applyAlignment="1">
      <alignment horizontal="center" vertical="center"/>
      <protection/>
    </xf>
    <xf numFmtId="3" fontId="5" fillId="34" borderId="10" xfId="72" applyNumberFormat="1" applyFont="1" applyFill="1" applyBorder="1" applyAlignment="1">
      <alignment horizontal="center" vertical="center"/>
      <protection/>
    </xf>
    <xf numFmtId="0" fontId="16" fillId="0" borderId="11" xfId="72" applyFont="1" applyFill="1" applyBorder="1" applyAlignment="1">
      <alignment horizontal="left" vertical="top" wrapText="1" shrinkToFit="1"/>
      <protection/>
    </xf>
    <xf numFmtId="3" fontId="16" fillId="0" borderId="10" xfId="72" applyNumberFormat="1" applyFont="1" applyFill="1" applyBorder="1" applyAlignment="1">
      <alignment horizontal="center" vertical="center"/>
      <protection/>
    </xf>
    <xf numFmtId="3" fontId="16" fillId="0" borderId="14" xfId="72" applyNumberFormat="1" applyFont="1" applyFill="1" applyBorder="1" applyAlignment="1">
      <alignment horizontal="center" vertical="center"/>
      <protection/>
    </xf>
    <xf numFmtId="172" fontId="16" fillId="0" borderId="0" xfId="72" applyNumberFormat="1" applyFont="1" applyFill="1" applyBorder="1" applyAlignment="1" applyProtection="1">
      <alignment wrapText="1" shrinkToFit="1"/>
      <protection locked="0"/>
    </xf>
    <xf numFmtId="0" fontId="16" fillId="0" borderId="0" xfId="72" applyFont="1" applyFill="1" applyBorder="1" applyAlignment="1">
      <alignment wrapText="1" shrinkToFit="1"/>
      <protection/>
    </xf>
    <xf numFmtId="0" fontId="5" fillId="0" borderId="11" xfId="72" applyFont="1" applyFill="1" applyBorder="1" applyAlignment="1">
      <alignment horizontal="left" vertical="top" wrapText="1" indent="1" shrinkToFit="1"/>
      <protection/>
    </xf>
    <xf numFmtId="3" fontId="5" fillId="0" borderId="14" xfId="72" applyNumberFormat="1" applyFont="1" applyFill="1" applyBorder="1" applyAlignment="1">
      <alignment horizontal="center" vertical="center"/>
      <protection/>
    </xf>
    <xf numFmtId="3" fontId="5" fillId="0" borderId="10" xfId="72" applyNumberFormat="1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left" vertical="top" wrapText="1" shrinkToFit="1"/>
      <protection/>
    </xf>
    <xf numFmtId="0" fontId="5" fillId="0" borderId="0" xfId="72" applyFont="1" applyFill="1" applyBorder="1" applyAlignment="1">
      <alignment horizontal="left" vertical="top"/>
      <protection/>
    </xf>
    <xf numFmtId="0" fontId="17" fillId="0" borderId="15" xfId="72" applyFont="1" applyFill="1" applyBorder="1" applyAlignment="1">
      <alignment wrapText="1" shrinkToFit="1"/>
      <protection/>
    </xf>
    <xf numFmtId="0" fontId="5" fillId="0" borderId="15" xfId="72" applyFont="1" applyFill="1" applyBorder="1" applyAlignment="1">
      <alignment wrapText="1" shrinkToFit="1"/>
      <protection/>
    </xf>
    <xf numFmtId="4" fontId="5" fillId="0" borderId="15" xfId="72" applyNumberFormat="1" applyFont="1" applyFill="1" applyBorder="1" applyAlignment="1">
      <alignment wrapText="1" shrinkToFit="1"/>
      <protection/>
    </xf>
    <xf numFmtId="3" fontId="5" fillId="0" borderId="15" xfId="72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7" applyNumberFormat="1" applyFont="1" applyFill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7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7" applyFont="1" applyFill="1" applyBorder="1" applyAlignment="1">
      <alignment/>
    </xf>
    <xf numFmtId="194" fontId="5" fillId="0" borderId="10" xfId="83" applyNumberFormat="1" applyFont="1" applyBorder="1" applyAlignment="1">
      <alignment/>
    </xf>
    <xf numFmtId="9" fontId="5" fillId="33" borderId="10" xfId="77" applyFont="1" applyFill="1" applyBorder="1" applyAlignment="1">
      <alignment/>
    </xf>
    <xf numFmtId="0" fontId="5" fillId="0" borderId="0" xfId="66" applyFont="1" applyFill="1" applyProtection="1">
      <alignment/>
      <protection locked="0"/>
    </xf>
    <xf numFmtId="0" fontId="16" fillId="0" borderId="0" xfId="66" applyFont="1" applyFill="1" applyProtection="1">
      <alignment/>
      <protection locked="0"/>
    </xf>
    <xf numFmtId="9" fontId="17" fillId="0" borderId="0" xfId="66" applyNumberFormat="1" applyFont="1" applyFill="1" applyProtection="1">
      <alignment/>
      <protection locked="0"/>
    </xf>
    <xf numFmtId="172" fontId="5" fillId="0" borderId="0" xfId="66" applyNumberFormat="1" applyFont="1" applyFill="1" applyProtection="1">
      <alignment/>
      <protection locked="0"/>
    </xf>
    <xf numFmtId="172" fontId="17" fillId="0" borderId="0" xfId="66" applyNumberFormat="1" applyFont="1" applyFill="1" applyProtection="1">
      <alignment/>
      <protection locked="0"/>
    </xf>
    <xf numFmtId="9" fontId="16" fillId="0" borderId="0" xfId="66" applyNumberFormat="1" applyFont="1" applyFill="1" applyProtection="1">
      <alignment/>
      <protection locked="0"/>
    </xf>
    <xf numFmtId="0" fontId="21" fillId="0" borderId="0" xfId="66" applyFont="1" applyFill="1" applyProtection="1">
      <alignment/>
      <protection locked="0"/>
    </xf>
    <xf numFmtId="0" fontId="16" fillId="0" borderId="10" xfId="66" applyFont="1" applyFill="1" applyBorder="1" applyProtection="1">
      <alignment/>
      <protection locked="0"/>
    </xf>
    <xf numFmtId="3" fontId="5" fillId="0" borderId="10" xfId="66" applyNumberFormat="1" applyFont="1" applyFill="1" applyBorder="1" applyAlignment="1" applyProtection="1">
      <alignment horizontal="center"/>
      <protection locked="0"/>
    </xf>
    <xf numFmtId="0" fontId="5" fillId="0" borderId="10" xfId="66" applyFont="1" applyFill="1" applyBorder="1" applyAlignment="1" applyProtection="1">
      <alignment vertical="top"/>
      <protection locked="0"/>
    </xf>
    <xf numFmtId="173" fontId="17" fillId="0" borderId="0" xfId="66" applyNumberFormat="1" applyFont="1" applyFill="1" applyProtection="1">
      <alignment/>
      <protection locked="0"/>
    </xf>
    <xf numFmtId="0" fontId="5" fillId="0" borderId="10" xfId="70" applyFont="1" applyFill="1" applyBorder="1" applyAlignment="1">
      <alignment horizontal="left" vertical="center" wrapText="1"/>
      <protection/>
    </xf>
    <xf numFmtId="0" fontId="16" fillId="0" borderId="10" xfId="70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16" fillId="0" borderId="10" xfId="72" applyFont="1" applyFill="1" applyBorder="1" applyAlignment="1">
      <alignment horizontal="center" vertical="center"/>
      <protection/>
    </xf>
    <xf numFmtId="0" fontId="5" fillId="0" borderId="0" xfId="66" applyFont="1" applyFill="1" applyAlignment="1" applyProtection="1">
      <alignment horizontal="center"/>
      <protection locked="0"/>
    </xf>
    <xf numFmtId="172" fontId="5" fillId="0" borderId="10" xfId="70" applyNumberFormat="1" applyFont="1" applyFill="1" applyBorder="1" applyAlignment="1">
      <alignment horizontal="right" vertical="center"/>
      <protection/>
    </xf>
    <xf numFmtId="172" fontId="5" fillId="0" borderId="10" xfId="66" applyNumberFormat="1" applyFont="1" applyFill="1" applyBorder="1" applyAlignment="1" applyProtection="1">
      <alignment/>
      <protection locked="0"/>
    </xf>
    <xf numFmtId="172" fontId="16" fillId="0" borderId="10" xfId="66" applyNumberFormat="1" applyFont="1" applyFill="1" applyBorder="1" applyAlignment="1" applyProtection="1">
      <alignment/>
      <protection locked="0"/>
    </xf>
    <xf numFmtId="0" fontId="5" fillId="0" borderId="0" xfId="66" applyFont="1" applyFill="1" applyAlignment="1" applyProtection="1">
      <alignment/>
      <protection locked="0"/>
    </xf>
    <xf numFmtId="0" fontId="5" fillId="0" borderId="0" xfId="66" applyFont="1" applyFill="1" applyAlignment="1" applyProtection="1">
      <alignment vertical="center"/>
      <protection locked="0"/>
    </xf>
    <xf numFmtId="0" fontId="5" fillId="36" borderId="10" xfId="70" applyFont="1" applyFill="1" applyBorder="1" applyAlignment="1">
      <alignment horizontal="left" vertical="center" wrapText="1" indent="2"/>
      <protection/>
    </xf>
    <xf numFmtId="172" fontId="5" fillId="39" borderId="10" xfId="66" applyNumberFormat="1" applyFont="1" applyFill="1" applyBorder="1" applyAlignment="1" applyProtection="1">
      <alignment/>
      <protection locked="0"/>
    </xf>
    <xf numFmtId="172" fontId="5" fillId="0" borderId="0" xfId="66" applyNumberFormat="1" applyFont="1" applyFill="1" applyAlignment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1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7" applyFont="1" applyBorder="1" applyAlignment="1">
      <alignment vertical="center"/>
      <protection/>
    </xf>
    <xf numFmtId="3" fontId="5" fillId="0" borderId="10" xfId="67" applyNumberFormat="1" applyFont="1" applyFill="1" applyBorder="1" applyAlignment="1">
      <alignment horizontal="right" vertical="center"/>
      <protection/>
    </xf>
    <xf numFmtId="0" fontId="16" fillId="0" borderId="10" xfId="67" applyFont="1" applyBorder="1" applyAlignment="1">
      <alignment vertical="center"/>
      <protection/>
    </xf>
    <xf numFmtId="3" fontId="16" fillId="0" borderId="10" xfId="67" applyNumberFormat="1" applyFont="1" applyFill="1" applyBorder="1" applyAlignment="1">
      <alignment horizontal="right" vertical="center"/>
      <protection/>
    </xf>
    <xf numFmtId="0" fontId="16" fillId="2" borderId="11" xfId="68" applyFont="1" applyFill="1" applyBorder="1" applyAlignment="1">
      <alignment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0" borderId="10" xfId="67" applyNumberFormat="1" applyFont="1" applyFill="1" applyBorder="1" applyAlignment="1">
      <alignment horizontal="right" vertical="center"/>
      <protection/>
    </xf>
    <xf numFmtId="9" fontId="16" fillId="0" borderId="10" xfId="67" applyNumberFormat="1" applyFont="1" applyFill="1" applyBorder="1" applyAlignment="1">
      <alignment horizontal="right" vertical="center"/>
      <protection/>
    </xf>
    <xf numFmtId="177" fontId="5" fillId="0" borderId="10" xfId="67" applyNumberFormat="1" applyFont="1" applyFill="1" applyBorder="1" applyAlignment="1">
      <alignment horizontal="right" vertical="center"/>
      <protection/>
    </xf>
    <xf numFmtId="0" fontId="1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 wrapText="1"/>
      <protection/>
    </xf>
    <xf numFmtId="9" fontId="5" fillId="2" borderId="10" xfId="67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7" fillId="0" borderId="0" xfId="72" applyFont="1" applyFill="1" applyBorder="1" applyAlignment="1">
      <alignment/>
      <protection/>
    </xf>
    <xf numFmtId="0" fontId="16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/>
      <protection/>
    </xf>
    <xf numFmtId="0" fontId="16" fillId="0" borderId="0" xfId="72" applyFont="1" applyFill="1" applyBorder="1" applyAlignment="1">
      <alignment/>
      <protection/>
    </xf>
    <xf numFmtId="0" fontId="5" fillId="0" borderId="11" xfId="72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2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9" fontId="5" fillId="0" borderId="14" xfId="72" applyNumberFormat="1" applyFont="1" applyFill="1" applyBorder="1" applyAlignment="1">
      <alignment horizontal="center" vertical="center"/>
      <protection/>
    </xf>
    <xf numFmtId="9" fontId="5" fillId="35" borderId="14" xfId="72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35" borderId="10" xfId="0" applyNumberFormat="1" applyFont="1" applyFill="1" applyBorder="1" applyAlignment="1">
      <alignment horizontal="center"/>
    </xf>
    <xf numFmtId="0" fontId="16" fillId="0" borderId="11" xfId="72" applyFont="1" applyFill="1" applyBorder="1" applyAlignment="1">
      <alignment horizontal="left" vertical="top"/>
      <protection/>
    </xf>
    <xf numFmtId="0" fontId="16" fillId="0" borderId="10" xfId="72" applyFont="1" applyFill="1" applyBorder="1" applyAlignment="1">
      <alignment horizontal="left" vertical="top"/>
      <protection/>
    </xf>
    <xf numFmtId="3" fontId="5" fillId="0" borderId="10" xfId="72" applyNumberFormat="1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vertical="center"/>
    </xf>
    <xf numFmtId="3" fontId="5" fillId="0" borderId="15" xfId="72" applyNumberFormat="1" applyFont="1" applyFill="1" applyBorder="1" applyAlignment="1">
      <alignment/>
      <protection/>
    </xf>
    <xf numFmtId="0" fontId="25" fillId="0" borderId="0" xfId="72" applyFont="1" applyFill="1" applyBorder="1" applyAlignment="1">
      <alignment horizontal="right"/>
      <protection/>
    </xf>
    <xf numFmtId="17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11" xfId="0" applyFont="1" applyBorder="1" applyAlignment="1">
      <alignment/>
    </xf>
    <xf numFmtId="3" fontId="17" fillId="3" borderId="10" xfId="0" applyNumberFormat="1" applyFont="1" applyFill="1" applyBorder="1" applyAlignment="1">
      <alignment/>
    </xf>
    <xf numFmtId="0" fontId="14" fillId="0" borderId="0" xfId="66" applyFont="1" applyFill="1" applyProtection="1">
      <alignment/>
      <protection locked="0"/>
    </xf>
    <xf numFmtId="172" fontId="68" fillId="0" borderId="0" xfId="66" applyNumberFormat="1" applyFont="1" applyFill="1" applyAlignment="1" applyProtection="1">
      <alignment horizontal="center"/>
      <protection locked="0"/>
    </xf>
    <xf numFmtId="0" fontId="16" fillId="2" borderId="10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right" vertical="center"/>
      <protection/>
    </xf>
    <xf numFmtId="172" fontId="69" fillId="0" borderId="0" xfId="71" applyNumberFormat="1" applyFont="1" applyFill="1" applyBorder="1" applyAlignment="1">
      <alignment horizontal="center" wrapText="1" shrinkToFit="1"/>
      <protection/>
    </xf>
    <xf numFmtId="0" fontId="25" fillId="0" borderId="0" xfId="0" applyFont="1" applyAlignment="1">
      <alignment horizontal="right"/>
    </xf>
    <xf numFmtId="1" fontId="16" fillId="0" borderId="10" xfId="0" applyNumberFormat="1" applyFont="1" applyBorder="1" applyAlignment="1">
      <alignment/>
    </xf>
    <xf numFmtId="173" fontId="5" fillId="0" borderId="10" xfId="67" applyNumberFormat="1" applyFont="1" applyFill="1" applyBorder="1" applyAlignment="1">
      <alignment horizontal="right" vertical="center"/>
      <protection/>
    </xf>
    <xf numFmtId="0" fontId="5" fillId="0" borderId="16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center"/>
    </xf>
    <xf numFmtId="3" fontId="5" fillId="35" borderId="14" xfId="72" applyNumberFormat="1" applyFont="1" applyFill="1" applyBorder="1" applyAlignment="1">
      <alignment horizontal="center" vertical="center"/>
      <protection/>
    </xf>
    <xf numFmtId="172" fontId="5" fillId="0" borderId="0" xfId="66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vertical="center"/>
    </xf>
    <xf numFmtId="3" fontId="5" fillId="0" borderId="0" xfId="66" applyNumberFormat="1" applyFont="1" applyFill="1" applyProtection="1">
      <alignment/>
      <protection locked="0"/>
    </xf>
    <xf numFmtId="0" fontId="5" fillId="0" borderId="0" xfId="66" applyFont="1" applyFill="1" applyBorder="1" applyProtection="1">
      <alignment/>
      <protection locked="0"/>
    </xf>
    <xf numFmtId="173" fontId="17" fillId="0" borderId="10" xfId="66" applyNumberFormat="1" applyFont="1" applyFill="1" applyBorder="1" applyProtection="1">
      <alignment/>
      <protection locked="0"/>
    </xf>
    <xf numFmtId="0" fontId="17" fillId="0" borderId="10" xfId="66" applyFont="1" applyFill="1" applyBorder="1" applyProtection="1">
      <alignment/>
      <protection locked="0"/>
    </xf>
    <xf numFmtId="172" fontId="17" fillId="0" borderId="10" xfId="66" applyNumberFormat="1" applyFont="1" applyFill="1" applyBorder="1" applyAlignment="1" applyProtection="1">
      <alignment/>
      <protection locked="0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1" fillId="0" borderId="0" xfId="53" applyAlignment="1" applyProtection="1">
      <alignment/>
      <protection/>
    </xf>
    <xf numFmtId="0" fontId="5" fillId="0" borderId="11" xfId="71" applyFont="1" applyFill="1" applyBorder="1" applyAlignment="1">
      <alignment horizontal="left" vertical="top" wrapText="1" indent="2" shrinkToFit="1"/>
      <protection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6" fillId="0" borderId="0" xfId="66" applyFont="1" applyFill="1" applyBorder="1" applyProtection="1">
      <alignment/>
      <protection locked="0"/>
    </xf>
    <xf numFmtId="3" fontId="5" fillId="0" borderId="0" xfId="66" applyNumberFormat="1" applyFont="1" applyFill="1" applyBorder="1" applyAlignment="1" applyProtection="1">
      <alignment horizontal="center"/>
      <protection locked="0"/>
    </xf>
    <xf numFmtId="0" fontId="16" fillId="0" borderId="0" xfId="67" applyFont="1" applyBorder="1" applyAlignment="1">
      <alignment horizontal="left" vertical="center"/>
      <protection/>
    </xf>
    <xf numFmtId="3" fontId="5" fillId="0" borderId="0" xfId="67" applyNumberFormat="1" applyFont="1" applyFill="1">
      <alignment/>
      <protection/>
    </xf>
    <xf numFmtId="0" fontId="5" fillId="0" borderId="0" xfId="67" applyFont="1" applyFill="1">
      <alignment/>
      <protection/>
    </xf>
    <xf numFmtId="9" fontId="5" fillId="35" borderId="10" xfId="0" applyNumberFormat="1" applyFont="1" applyFill="1" applyBorder="1" applyAlignment="1">
      <alignment/>
    </xf>
    <xf numFmtId="187" fontId="25" fillId="0" borderId="0" xfId="0" applyNumberFormat="1" applyFont="1" applyAlignment="1">
      <alignment/>
    </xf>
    <xf numFmtId="3" fontId="5" fillId="0" borderId="0" xfId="72" applyNumberFormat="1" applyFont="1" applyFill="1" applyBorder="1" applyAlignment="1">
      <alignment/>
      <protection/>
    </xf>
    <xf numFmtId="0" fontId="5" fillId="0" borderId="0" xfId="0" applyFont="1" applyAlignment="1">
      <alignment horizontal="left"/>
    </xf>
    <xf numFmtId="3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 vertical="center" wrapText="1"/>
      <protection/>
    </xf>
    <xf numFmtId="3" fontId="16" fillId="0" borderId="10" xfId="72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173" fontId="17" fillId="35" borderId="10" xfId="0" applyNumberFormat="1" applyFont="1" applyFill="1" applyBorder="1" applyAlignment="1">
      <alignment horizontal="center"/>
    </xf>
    <xf numFmtId="3" fontId="16" fillId="2" borderId="12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indent="1"/>
    </xf>
    <xf numFmtId="9" fontId="28" fillId="35" borderId="10" xfId="0" applyNumberFormat="1" applyFont="1" applyFill="1" applyBorder="1" applyAlignment="1">
      <alignment/>
    </xf>
    <xf numFmtId="9" fontId="28" fillId="0" borderId="10" xfId="0" applyNumberFormat="1" applyFont="1" applyBorder="1" applyAlignment="1">
      <alignment/>
    </xf>
    <xf numFmtId="9" fontId="5" fillId="0" borderId="10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16" fillId="2" borderId="12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8" fillId="0" borderId="10" xfId="67" applyFont="1" applyBorder="1" applyAlignment="1">
      <alignment vertical="center"/>
      <protection/>
    </xf>
    <xf numFmtId="3" fontId="28" fillId="0" borderId="10" xfId="67" applyNumberFormat="1" applyFont="1" applyFill="1" applyBorder="1" applyAlignment="1">
      <alignment horizontal="right" vertical="center"/>
      <protection/>
    </xf>
    <xf numFmtId="0" fontId="28" fillId="0" borderId="0" xfId="67" applyFont="1">
      <alignment/>
      <protection/>
    </xf>
    <xf numFmtId="0" fontId="16" fillId="0" borderId="13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center" vertical="center" wrapText="1"/>
      <protection/>
    </xf>
    <xf numFmtId="0" fontId="16" fillId="0" borderId="17" xfId="71" applyFont="1" applyFill="1" applyBorder="1" applyAlignment="1">
      <alignment horizontal="center" vertical="center" wrapText="1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172" fontId="16" fillId="34" borderId="11" xfId="71" applyNumberFormat="1" applyFont="1" applyFill="1" applyBorder="1" applyAlignment="1">
      <alignment horizontal="center" vertical="center" wrapText="1" shrinkToFit="1"/>
      <protection/>
    </xf>
    <xf numFmtId="172" fontId="16" fillId="34" borderId="17" xfId="71" applyNumberFormat="1" applyFont="1" applyFill="1" applyBorder="1" applyAlignment="1">
      <alignment horizontal="center" vertical="center" wrapText="1" shrinkToFit="1"/>
      <protection/>
    </xf>
    <xf numFmtId="172" fontId="16" fillId="34" borderId="12" xfId="71" applyNumberFormat="1" applyFont="1" applyFill="1" applyBorder="1" applyAlignment="1">
      <alignment horizontal="center" vertical="center" wrapText="1" shrinkToFit="1"/>
      <protection/>
    </xf>
    <xf numFmtId="172" fontId="16" fillId="34" borderId="11" xfId="71" applyNumberFormat="1" applyFont="1" applyFill="1" applyBorder="1" applyAlignment="1">
      <alignment horizontal="center" vertical="center"/>
      <protection/>
    </xf>
    <xf numFmtId="172" fontId="16" fillId="34" borderId="17" xfId="71" applyNumberFormat="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/>
      <protection/>
    </xf>
    <xf numFmtId="0" fontId="16" fillId="34" borderId="12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0" fontId="16" fillId="34" borderId="18" xfId="72" applyFont="1" applyFill="1" applyBorder="1" applyAlignment="1">
      <alignment horizontal="center" vertical="center" wrapText="1" shrinkToFit="1"/>
      <protection/>
    </xf>
    <xf numFmtId="0" fontId="16" fillId="34" borderId="19" xfId="72" applyFont="1" applyFill="1" applyBorder="1" applyAlignment="1">
      <alignment horizontal="center" vertical="center"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172" fontId="16" fillId="34" borderId="11" xfId="72" applyNumberFormat="1" applyFont="1" applyFill="1" applyBorder="1" applyAlignment="1">
      <alignment horizontal="center" vertical="center"/>
      <protection/>
    </xf>
    <xf numFmtId="172" fontId="16" fillId="34" borderId="17" xfId="72" applyNumberFormat="1" applyFont="1" applyFill="1" applyBorder="1" applyAlignment="1">
      <alignment horizontal="center" vertical="center"/>
      <protection/>
    </xf>
    <xf numFmtId="172" fontId="16" fillId="34" borderId="12" xfId="7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6" fillId="34" borderId="18" xfId="72" applyFont="1" applyFill="1" applyBorder="1" applyAlignment="1">
      <alignment horizontal="center" vertical="center"/>
      <protection/>
    </xf>
    <xf numFmtId="0" fontId="16" fillId="34" borderId="19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 wrapText="1"/>
      <protection/>
    </xf>
    <xf numFmtId="0" fontId="16" fillId="34" borderId="14" xfId="72" applyFont="1" applyFill="1" applyBorder="1" applyAlignment="1">
      <alignment horizontal="center" vertical="center" wrapText="1"/>
      <protection/>
    </xf>
    <xf numFmtId="3" fontId="16" fillId="2" borderId="11" xfId="0" applyNumberFormat="1" applyFont="1" applyFill="1" applyBorder="1" applyAlignment="1">
      <alignment horizontal="center" vertical="center" wrapText="1"/>
    </xf>
    <xf numFmtId="3" fontId="16" fillId="2" borderId="12" xfId="0" applyNumberFormat="1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center" wrapText="1"/>
    </xf>
    <xf numFmtId="3" fontId="16" fillId="2" borderId="12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6" fillId="0" borderId="10" xfId="7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8" applyFont="1" applyFill="1" applyBorder="1" applyAlignment="1">
      <alignment horizontal="left" vertical="center"/>
      <protection/>
    </xf>
    <xf numFmtId="0" fontId="16" fillId="2" borderId="14" xfId="68" applyFont="1" applyFill="1" applyBorder="1" applyAlignment="1">
      <alignment horizontal="left" vertical="center"/>
      <protection/>
    </xf>
    <xf numFmtId="3" fontId="16" fillId="2" borderId="11" xfId="68" applyNumberFormat="1" applyFont="1" applyFill="1" applyBorder="1" applyAlignment="1">
      <alignment horizontal="center" vertical="center"/>
      <protection/>
    </xf>
    <xf numFmtId="3" fontId="16" fillId="2" borderId="17" xfId="68" applyNumberFormat="1" applyFont="1" applyFill="1" applyBorder="1" applyAlignment="1">
      <alignment horizontal="center" vertical="center"/>
      <protection/>
    </xf>
    <xf numFmtId="3" fontId="16" fillId="2" borderId="12" xfId="68" applyNumberFormat="1" applyFont="1" applyFill="1" applyBorder="1" applyAlignment="1">
      <alignment horizontal="center" vertical="center"/>
      <protection/>
    </xf>
  </cellXfs>
  <cellStyles count="77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Алтын-ОрдаНовыйБП" xfId="65"/>
    <cellStyle name="Обычный_Алтын-ОрдаНовыйБП 2" xfId="66"/>
    <cellStyle name="Обычный_БП кир завод 3.3  (40 млн. +20 забут реал на 18.07.06 для АФ увел курс)" xfId="67"/>
    <cellStyle name="Обычный_Копия cityrus4-18 лет СМР 52 млн $" xfId="68"/>
    <cellStyle name="Обычный_НовыйМир" xfId="69"/>
    <cellStyle name="Обычный_ПереченьКЗ" xfId="70"/>
    <cellStyle name="Обычный_Формы отчетов" xfId="71"/>
    <cellStyle name="Обычный_Формы отчетов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Тысячи [0]" xfId="82"/>
    <cellStyle name="Comma" xfId="83"/>
    <cellStyle name="Comma [0]" xfId="84"/>
    <cellStyle name="Хороший" xfId="85"/>
    <cellStyle name="桁区切り [0.00]_PERSONAL" xfId="86"/>
    <cellStyle name="桁区切り_PERSONAL" xfId="87"/>
    <cellStyle name="標準_PERSONAL" xfId="88"/>
    <cellStyle name="通貨 [0.00]_PERSONAL" xfId="89"/>
    <cellStyle name="通貨_PERSON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arella.ru/lkm/lr-130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skaz.ru/society/20130726/5361848.html" TargetMode="External" /><Relationship Id="rId2" Type="http://schemas.openxmlformats.org/officeDocument/2006/relationships/hyperlink" Target="http://semey.all.biz/kraski-akrilovye-kraski-vodoemulsionnye-akrilovye-g206748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142"/>
  <sheetViews>
    <sheetView showGridLines="0" showZeros="0" zoomScalePageLayoutView="0" workbookViewId="0" topLeftCell="A1">
      <pane xSplit="3" ySplit="6" topLeftCell="M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R9" sqref="AR9"/>
    </sheetView>
  </sheetViews>
  <sheetFormatPr defaultColWidth="8.625" defaultRowHeight="12.75" outlineLevelRow="1" outlineLevelCol="1"/>
  <cols>
    <col min="1" max="1" width="38.625" style="60" customWidth="1"/>
    <col min="2" max="2" width="10.125" style="61" customWidth="1"/>
    <col min="3" max="3" width="1.875" style="61" customWidth="1"/>
    <col min="4" max="6" width="7.75390625" style="6" hidden="1" customWidth="1" outlineLevel="1"/>
    <col min="7" max="7" width="7.75390625" style="57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00390625" style="6" hidden="1" customWidth="1" outlineLevel="1"/>
    <col min="29" max="29" width="10.00390625" style="7" customWidth="1" collapsed="1"/>
    <col min="30" max="30" width="7.875" style="6" hidden="1" customWidth="1" outlineLevel="1"/>
    <col min="31" max="34" width="7.625" style="6" hidden="1" customWidth="1" outlineLevel="1"/>
    <col min="35" max="39" width="8.125" style="6" hidden="1" customWidth="1" outlineLevel="1"/>
    <col min="40" max="40" width="8.375" style="6" hidden="1" customWidth="1" outlineLevel="1"/>
    <col min="41" max="41" width="8.125" style="6" hidden="1" customWidth="1" outlineLevel="1"/>
    <col min="42" max="42" width="9.125" style="7" bestFit="1" customWidth="1" collapsed="1"/>
    <col min="43" max="44" width="9.375" style="7" customWidth="1"/>
    <col min="45" max="47" width="9.375" style="8" customWidth="1"/>
    <col min="48" max="48" width="8.75390625" style="8" bestFit="1" customWidth="1"/>
    <col min="49" max="52" width="9.75390625" style="8" bestFit="1" customWidth="1"/>
    <col min="53" max="55" width="9.125" style="8" bestFit="1" customWidth="1"/>
    <col min="56" max="16384" width="8.625" style="8" customWidth="1"/>
  </cols>
  <sheetData>
    <row r="1" spans="1:40" ht="12.75">
      <c r="A1" s="62" t="s">
        <v>161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  <c r="AD1" s="2"/>
      <c r="AE1" s="2"/>
      <c r="AF1" s="2"/>
      <c r="AG1" s="2"/>
      <c r="AH1" s="2"/>
      <c r="AI1" s="4"/>
      <c r="AJ1" s="4"/>
      <c r="AK1" s="4"/>
      <c r="AL1" s="4"/>
      <c r="AM1" s="4"/>
      <c r="AN1" s="5"/>
    </row>
    <row r="2" spans="1:40" ht="12.75" hidden="1" outlineLevel="1">
      <c r="A2" s="9">
        <f>MAX(K35:AR35)</f>
        <v>11075.97477584811</v>
      </c>
      <c r="B2" s="10">
        <f>MIN(L35:AU35)</f>
        <v>-0.36300308117168356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  <c r="AD2" s="2"/>
      <c r="AE2" s="2"/>
      <c r="AF2" s="2"/>
      <c r="AG2" s="2"/>
      <c r="AH2" s="2"/>
      <c r="AI2" s="4"/>
      <c r="AJ2" s="4"/>
      <c r="AK2" s="4"/>
      <c r="AL2" s="4"/>
      <c r="AM2" s="4"/>
      <c r="AN2" s="5"/>
    </row>
    <row r="3" spans="1:40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  <c r="AD3" s="2"/>
      <c r="AE3" s="2"/>
      <c r="AF3" s="2"/>
      <c r="AG3" s="2"/>
      <c r="AH3" s="2"/>
      <c r="AI3" s="4"/>
      <c r="AJ3" s="4"/>
      <c r="AK3" s="4"/>
      <c r="AL3" s="4"/>
      <c r="AM3" s="4"/>
      <c r="AN3" s="5"/>
    </row>
    <row r="4" spans="1:40" ht="12.75">
      <c r="A4" s="11"/>
      <c r="B4" s="12" t="str">
        <f>Исх!$C$10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  <c r="AD4" s="2"/>
      <c r="AE4" s="2"/>
      <c r="AF4" s="3"/>
      <c r="AG4" s="2"/>
      <c r="AI4" s="13"/>
      <c r="AJ4" s="2"/>
      <c r="AK4" s="2"/>
      <c r="AL4" s="14"/>
      <c r="AM4" s="2"/>
      <c r="AN4" s="2"/>
    </row>
    <row r="5" spans="1:47" ht="15.75" customHeight="1">
      <c r="A5" s="321" t="s">
        <v>3</v>
      </c>
      <c r="B5" s="323" t="s">
        <v>89</v>
      </c>
      <c r="C5" s="15"/>
      <c r="D5" s="323">
        <v>2013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>
        <v>2014</v>
      </c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4">
        <v>2015</v>
      </c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6"/>
      <c r="AQ5" s="15">
        <f>AD5+1</f>
        <v>2016</v>
      </c>
      <c r="AR5" s="15">
        <f>AQ5+1</f>
        <v>2017</v>
      </c>
      <c r="AS5" s="15">
        <f>AR5+1</f>
        <v>2018</v>
      </c>
      <c r="AT5" s="15">
        <f>AS5+1</f>
        <v>2019</v>
      </c>
      <c r="AU5" s="15">
        <f>AT5+1</f>
        <v>2020</v>
      </c>
    </row>
    <row r="6" spans="1:47" ht="12.75">
      <c r="A6" s="322"/>
      <c r="B6" s="323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6">
        <v>1</v>
      </c>
      <c r="AE6" s="16">
        <f aca="true" t="shared" si="2" ref="AE6:AO6">AD6+1</f>
        <v>2</v>
      </c>
      <c r="AF6" s="16">
        <f t="shared" si="2"/>
        <v>3</v>
      </c>
      <c r="AG6" s="16">
        <f t="shared" si="2"/>
        <v>4</v>
      </c>
      <c r="AH6" s="16">
        <f t="shared" si="2"/>
        <v>5</v>
      </c>
      <c r="AI6" s="16">
        <f t="shared" si="2"/>
        <v>6</v>
      </c>
      <c r="AJ6" s="16">
        <f t="shared" si="2"/>
        <v>7</v>
      </c>
      <c r="AK6" s="16">
        <f t="shared" si="2"/>
        <v>8</v>
      </c>
      <c r="AL6" s="16">
        <f t="shared" si="2"/>
        <v>9</v>
      </c>
      <c r="AM6" s="16">
        <f t="shared" si="2"/>
        <v>10</v>
      </c>
      <c r="AN6" s="16">
        <f t="shared" si="2"/>
        <v>11</v>
      </c>
      <c r="AO6" s="16">
        <f t="shared" si="2"/>
        <v>12</v>
      </c>
      <c r="AP6" s="15" t="s">
        <v>0</v>
      </c>
      <c r="AQ6" s="15" t="s">
        <v>111</v>
      </c>
      <c r="AR6" s="15" t="s">
        <v>111</v>
      </c>
      <c r="AS6" s="15" t="s">
        <v>111</v>
      </c>
      <c r="AT6" s="15" t="s">
        <v>111</v>
      </c>
      <c r="AU6" s="15" t="s">
        <v>111</v>
      </c>
    </row>
    <row r="7" spans="1:47" s="21" customFormat="1" ht="12.75">
      <c r="A7" s="17" t="s">
        <v>314</v>
      </c>
      <c r="B7" s="18">
        <f>P7</f>
        <v>0</v>
      </c>
      <c r="C7" s="19"/>
      <c r="D7" s="20">
        <f>C35</f>
        <v>0</v>
      </c>
      <c r="E7" s="20">
        <f aca="true" t="shared" si="3" ref="E7:K7">D35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K35</f>
        <v>0</v>
      </c>
      <c r="M7" s="20">
        <f>L35</f>
        <v>0</v>
      </c>
      <c r="N7" s="20">
        <f>M35</f>
        <v>0</v>
      </c>
      <c r="O7" s="20">
        <f>N35</f>
        <v>0</v>
      </c>
      <c r="P7" s="20">
        <f>D7</f>
        <v>0</v>
      </c>
      <c r="Q7" s="20">
        <f>P35</f>
        <v>990</v>
      </c>
      <c r="R7" s="20">
        <f aca="true" t="shared" si="4" ref="R7:AA7">Q35</f>
        <v>352.7311559642858</v>
      </c>
      <c r="S7" s="20">
        <f t="shared" si="4"/>
        <v>405.76231192857176</v>
      </c>
      <c r="T7" s="20">
        <f t="shared" si="4"/>
        <v>803.9434678928574</v>
      </c>
      <c r="U7" s="20">
        <f t="shared" si="4"/>
        <v>1202.124623857143</v>
      </c>
      <c r="V7" s="20">
        <f t="shared" si="4"/>
        <v>2155.5552684460954</v>
      </c>
      <c r="W7" s="20">
        <f t="shared" si="4"/>
        <v>2536.617723938286</v>
      </c>
      <c r="X7" s="20">
        <f t="shared" si="4"/>
        <v>2487.1953803904767</v>
      </c>
      <c r="Y7" s="20">
        <f t="shared" si="4"/>
        <v>2328.318468926068</v>
      </c>
      <c r="Z7" s="20">
        <f t="shared" si="4"/>
        <v>3043.1921992259795</v>
      </c>
      <c r="AA7" s="20">
        <f t="shared" si="4"/>
        <v>3028.165019286576</v>
      </c>
      <c r="AB7" s="20">
        <f>AA35</f>
        <v>2382.939868027461</v>
      </c>
      <c r="AC7" s="20">
        <f>Q7</f>
        <v>990</v>
      </c>
      <c r="AD7" s="20">
        <f aca="true" t="shared" si="5" ref="AD7:AO7">AC35</f>
        <v>792.4863594433663</v>
      </c>
      <c r="AE7" s="20">
        <f t="shared" si="5"/>
        <v>33.04737406246667</v>
      </c>
      <c r="AF7" s="20">
        <f t="shared" si="5"/>
        <v>-0.36300308117168356</v>
      </c>
      <c r="AG7" s="20">
        <f t="shared" si="5"/>
        <v>329.16946866754984</v>
      </c>
      <c r="AH7" s="20">
        <f t="shared" si="5"/>
        <v>658.5590251568844</v>
      </c>
      <c r="AI7" s="20">
        <f t="shared" si="5"/>
        <v>1596.1562009144861</v>
      </c>
      <c r="AJ7" s="20">
        <f t="shared" si="5"/>
        <v>2759.6827366620614</v>
      </c>
      <c r="AK7" s="20">
        <f t="shared" si="5"/>
        <v>4065.484948258433</v>
      </c>
      <c r="AL7" s="20">
        <f t="shared" si="5"/>
        <v>5178.862776568148</v>
      </c>
      <c r="AM7" s="20">
        <f t="shared" si="5"/>
        <v>5362.749302787062</v>
      </c>
      <c r="AN7" s="20">
        <f t="shared" si="5"/>
        <v>5386.256084824904</v>
      </c>
      <c r="AO7" s="20">
        <f t="shared" si="5"/>
        <v>4768.686999287664</v>
      </c>
      <c r="AP7" s="20">
        <f>AD7</f>
        <v>792.4863594433663</v>
      </c>
      <c r="AQ7" s="20">
        <f>AP35</f>
        <v>3189.577671116964</v>
      </c>
      <c r="AR7" s="20">
        <f>AQ35</f>
        <v>6975.852262322535</v>
      </c>
      <c r="AS7" s="20">
        <f>AR35</f>
        <v>11075.97477584811</v>
      </c>
      <c r="AT7" s="20">
        <f>AS35</f>
        <v>14654.564277580323</v>
      </c>
      <c r="AU7" s="20">
        <f>AT35</f>
        <v>17684.66056608732</v>
      </c>
    </row>
    <row r="8" spans="1:47" s="21" customFormat="1" ht="12.75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s="21" customFormat="1" ht="12.75">
      <c r="A9" s="26" t="s">
        <v>18</v>
      </c>
      <c r="B9" s="27">
        <f>SUM(B10:B11)</f>
        <v>300857.01749999996</v>
      </c>
      <c r="C9" s="27">
        <f aca="true" t="shared" si="6" ref="C9:AU9">SUM(C10:C11)</f>
        <v>0</v>
      </c>
      <c r="D9" s="27">
        <f t="shared" si="6"/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1725.75</v>
      </c>
      <c r="R9" s="27">
        <f t="shared" si="6"/>
        <v>2416.05</v>
      </c>
      <c r="S9" s="27">
        <f t="shared" si="6"/>
        <v>2761.2</v>
      </c>
      <c r="T9" s="27">
        <f t="shared" si="6"/>
        <v>2761.2</v>
      </c>
      <c r="U9" s="27">
        <f t="shared" si="6"/>
        <v>3451.5</v>
      </c>
      <c r="V9" s="27">
        <f t="shared" si="6"/>
        <v>2847.4875</v>
      </c>
      <c r="W9" s="27">
        <f t="shared" si="6"/>
        <v>2485.08</v>
      </c>
      <c r="X9" s="27">
        <f t="shared" si="6"/>
        <v>2485.08</v>
      </c>
      <c r="Y9" s="27">
        <f t="shared" si="6"/>
        <v>3451.5</v>
      </c>
      <c r="Z9" s="27">
        <f t="shared" si="6"/>
        <v>2761.2</v>
      </c>
      <c r="AA9" s="27">
        <f t="shared" si="6"/>
        <v>2070.8999999999996</v>
      </c>
      <c r="AB9" s="27">
        <f t="shared" si="6"/>
        <v>1035.4499999999998</v>
      </c>
      <c r="AC9" s="27">
        <f t="shared" si="6"/>
        <v>30252.3975</v>
      </c>
      <c r="AD9" s="27">
        <f t="shared" si="6"/>
        <v>1989</v>
      </c>
      <c r="AE9" s="27">
        <f t="shared" si="6"/>
        <v>2784.5999999999995</v>
      </c>
      <c r="AF9" s="27">
        <f t="shared" si="6"/>
        <v>3182.3999999999996</v>
      </c>
      <c r="AG9" s="27">
        <f t="shared" si="6"/>
        <v>3182.3999999999996</v>
      </c>
      <c r="AH9" s="27">
        <f t="shared" si="6"/>
        <v>3978</v>
      </c>
      <c r="AI9" s="27">
        <f t="shared" si="6"/>
        <v>4375.799999999999</v>
      </c>
      <c r="AJ9" s="27">
        <f t="shared" si="6"/>
        <v>4773.599999999999</v>
      </c>
      <c r="AK9" s="27">
        <f t="shared" si="6"/>
        <v>4534.919999999999</v>
      </c>
      <c r="AL9" s="27">
        <f t="shared" si="6"/>
        <v>3381.2999999999997</v>
      </c>
      <c r="AM9" s="27">
        <f t="shared" si="6"/>
        <v>3182.3999999999996</v>
      </c>
      <c r="AN9" s="27">
        <f t="shared" si="6"/>
        <v>2386.7999999999997</v>
      </c>
      <c r="AO9" s="27">
        <f t="shared" si="6"/>
        <v>1193.3999999999999</v>
      </c>
      <c r="AP9" s="27">
        <f t="shared" si="6"/>
        <v>38944.619999999995</v>
      </c>
      <c r="AQ9" s="27">
        <f t="shared" si="6"/>
        <v>44460</v>
      </c>
      <c r="AR9" s="27">
        <f t="shared" si="6"/>
        <v>46800</v>
      </c>
      <c r="AS9" s="27">
        <f t="shared" si="6"/>
        <v>46800</v>
      </c>
      <c r="AT9" s="27">
        <f t="shared" si="6"/>
        <v>46800</v>
      </c>
      <c r="AU9" s="27">
        <f t="shared" si="6"/>
        <v>46800</v>
      </c>
    </row>
    <row r="10" spans="1:47" ht="12.75">
      <c r="A10" s="28" t="str">
        <f>'2-ф2'!A6</f>
        <v>Краска для внутренних работ</v>
      </c>
      <c r="B10" s="27">
        <f>P10+AC10+AP10+AQ10+AR10+AS10+AT10+AU10</f>
        <v>168479.92979999998</v>
      </c>
      <c r="C10" s="27"/>
      <c r="D10" s="29">
        <f>'2-ф2'!D6*Исх!$C$19</f>
        <v>0</v>
      </c>
      <c r="E10" s="29">
        <f>'2-ф2'!E6*Исх!$C$19</f>
        <v>0</v>
      </c>
      <c r="F10" s="29">
        <f>'2-ф2'!F6*Исх!$C$19</f>
        <v>0</v>
      </c>
      <c r="G10" s="29">
        <f>'2-ф2'!G6*Исх!$C$19</f>
        <v>0</v>
      </c>
      <c r="H10" s="29">
        <f>'2-ф2'!H6*Исх!$C$19</f>
        <v>0</v>
      </c>
      <c r="I10" s="29">
        <f>'2-ф2'!I6*Исх!$C$19</f>
        <v>0</v>
      </c>
      <c r="J10" s="29">
        <f>'2-ф2'!J6*Исх!$C$19</f>
        <v>0</v>
      </c>
      <c r="K10" s="29">
        <f>'2-ф2'!K6*Исх!$C$19</f>
        <v>0</v>
      </c>
      <c r="L10" s="29">
        <f>'2-ф2'!L6*Исх!$C$19</f>
        <v>0</v>
      </c>
      <c r="M10" s="29">
        <f>'2-ф2'!M6*Исх!$C$19</f>
        <v>0</v>
      </c>
      <c r="N10" s="29">
        <f>'2-ф2'!N6*Исх!$C$19</f>
        <v>0</v>
      </c>
      <c r="O10" s="29">
        <f>'2-ф2'!O6*Исх!$C$19</f>
        <v>0</v>
      </c>
      <c r="P10" s="27">
        <f>SUM(D10:O10)</f>
        <v>0</v>
      </c>
      <c r="Q10" s="29">
        <f>'2-ф2'!Q6*Исх!$C$19</f>
        <v>966.4200000000001</v>
      </c>
      <c r="R10" s="29">
        <f>'2-ф2'!R6*Исх!$C$19</f>
        <v>1352.9880000000003</v>
      </c>
      <c r="S10" s="29">
        <f>'2-ф2'!S6*Исх!$C$19</f>
        <v>1546.272</v>
      </c>
      <c r="T10" s="29">
        <f>'2-ф2'!T6*Исх!$C$19</f>
        <v>1546.272</v>
      </c>
      <c r="U10" s="29">
        <f>'2-ф2'!U6*Исх!$C$19</f>
        <v>1932.8400000000001</v>
      </c>
      <c r="V10" s="29">
        <f>'2-ф2'!V6*Исх!$C$19</f>
        <v>1594.593</v>
      </c>
      <c r="W10" s="29">
        <f>'2-ф2'!W6*Исх!$C$19</f>
        <v>1391.6447999999998</v>
      </c>
      <c r="X10" s="29">
        <f>'2-ф2'!X6*Исх!$C$19</f>
        <v>1391.6447999999998</v>
      </c>
      <c r="Y10" s="29">
        <f>'2-ф2'!Y6*Исх!$C$19</f>
        <v>1932.8400000000001</v>
      </c>
      <c r="Z10" s="29">
        <f>'2-ф2'!Z6*Исх!$C$19</f>
        <v>1546.272</v>
      </c>
      <c r="AA10" s="29">
        <f>'2-ф2'!AA6*Исх!$C$19</f>
        <v>1159.704</v>
      </c>
      <c r="AB10" s="29">
        <f>'2-ф2'!AB6*Исх!$C$19</f>
        <v>579.852</v>
      </c>
      <c r="AC10" s="27">
        <f>SUM(Q10:AB10)</f>
        <v>16941.3426</v>
      </c>
      <c r="AD10" s="29">
        <f>'2-ф2'!AD6*Исх!$C$19</f>
        <v>1113.84</v>
      </c>
      <c r="AE10" s="29">
        <f>'2-ф2'!AE6*Исх!$C$19</f>
        <v>1559.3759999999997</v>
      </c>
      <c r="AF10" s="29">
        <f>'2-ф2'!AF6*Исх!$C$19</f>
        <v>1782.1439999999998</v>
      </c>
      <c r="AG10" s="29">
        <f>'2-ф2'!AG6*Исх!$C$19</f>
        <v>1782.1439999999998</v>
      </c>
      <c r="AH10" s="29">
        <f>'2-ф2'!AH6*Исх!$C$19</f>
        <v>2227.68</v>
      </c>
      <c r="AI10" s="29">
        <f>'2-ф2'!AI6*Исх!$C$19</f>
        <v>2450.4479999999994</v>
      </c>
      <c r="AJ10" s="29">
        <f>'2-ф2'!AJ6*Исх!$C$19</f>
        <v>2673.2159999999994</v>
      </c>
      <c r="AK10" s="29">
        <f>'2-ф2'!AK6*Исх!$C$19</f>
        <v>2539.5551999999993</v>
      </c>
      <c r="AL10" s="29">
        <f>'2-ф2'!AL6*Исх!$C$19</f>
        <v>1893.5279999999998</v>
      </c>
      <c r="AM10" s="29">
        <f>'2-ф2'!AM6*Исх!$C$19</f>
        <v>1782.1439999999998</v>
      </c>
      <c r="AN10" s="29">
        <f>'2-ф2'!AN6*Исх!$C$19</f>
        <v>1336.6079999999997</v>
      </c>
      <c r="AO10" s="29">
        <f>'2-ф2'!AO6*Исх!$C$19</f>
        <v>668.3039999999999</v>
      </c>
      <c r="AP10" s="27">
        <f>SUM(AD10:AO10)</f>
        <v>21808.987199999996</v>
      </c>
      <c r="AQ10" s="29">
        <f>'2-ф2'!AQ6*Исх!$C$19</f>
        <v>24897.6</v>
      </c>
      <c r="AR10" s="29">
        <f>'2-ф2'!AR6*Исх!$C$19</f>
        <v>26208</v>
      </c>
      <c r="AS10" s="29">
        <f>'2-ф2'!AS6*Исх!$C$19</f>
        <v>26208</v>
      </c>
      <c r="AT10" s="29">
        <f>'2-ф2'!AT6*Исх!$C$19</f>
        <v>26208</v>
      </c>
      <c r="AU10" s="29">
        <f>'2-ф2'!AU6*Исх!$C$19</f>
        <v>26208</v>
      </c>
    </row>
    <row r="11" spans="1:47" ht="12.75">
      <c r="A11" s="28" t="str">
        <f>'2-ф2'!A7</f>
        <v>Краска фасадная</v>
      </c>
      <c r="B11" s="27">
        <f>P11+AC11+AP11+AQ11+AR11+AS11+AT11+AU11</f>
        <v>132377.0877</v>
      </c>
      <c r="C11" s="27"/>
      <c r="D11" s="29">
        <f>'2-ф2'!D7*Исх!$C$19</f>
        <v>0</v>
      </c>
      <c r="E11" s="29">
        <f>'2-ф2'!E7*Исх!$C$19</f>
        <v>0</v>
      </c>
      <c r="F11" s="29">
        <f>'2-ф2'!F7*Исх!$C$19</f>
        <v>0</v>
      </c>
      <c r="G11" s="29">
        <f>'2-ф2'!G7*Исх!$C$19</f>
        <v>0</v>
      </c>
      <c r="H11" s="29">
        <f>'2-ф2'!H7*Исх!$C$19</f>
        <v>0</v>
      </c>
      <c r="I11" s="29">
        <f>'2-ф2'!I7*Исх!$C$19</f>
        <v>0</v>
      </c>
      <c r="J11" s="29">
        <f>'2-ф2'!J7*Исх!$C$19</f>
        <v>0</v>
      </c>
      <c r="K11" s="29">
        <f>'2-ф2'!K7*Исх!$C$19</f>
        <v>0</v>
      </c>
      <c r="L11" s="29">
        <f>'2-ф2'!L7*Исх!$C$19</f>
        <v>0</v>
      </c>
      <c r="M11" s="29">
        <f>'2-ф2'!M7*Исх!$C$19</f>
        <v>0</v>
      </c>
      <c r="N11" s="29">
        <f>'2-ф2'!N7*Исх!$C$19</f>
        <v>0</v>
      </c>
      <c r="O11" s="29">
        <f>'2-ф2'!O7*Исх!$C$19</f>
        <v>0</v>
      </c>
      <c r="P11" s="27">
        <f>SUM(D11:O11)</f>
        <v>0</v>
      </c>
      <c r="Q11" s="29">
        <f>'2-ф2'!Q7*Исх!$C$19</f>
        <v>759.3299999999999</v>
      </c>
      <c r="R11" s="29">
        <f>'2-ф2'!R7*Исх!$C$19</f>
        <v>1063.062</v>
      </c>
      <c r="S11" s="29">
        <f>'2-ф2'!S7*Исх!$C$19</f>
        <v>1214.9279999999997</v>
      </c>
      <c r="T11" s="29">
        <f>'2-ф2'!T7*Исх!$C$19</f>
        <v>1214.9279999999997</v>
      </c>
      <c r="U11" s="29">
        <f>'2-ф2'!U7*Исх!$C$19</f>
        <v>1518.6599999999999</v>
      </c>
      <c r="V11" s="29">
        <f>'2-ф2'!V7*Исх!$C$19</f>
        <v>1252.8944999999999</v>
      </c>
      <c r="W11" s="29">
        <f>'2-ф2'!W7*Исх!$C$19</f>
        <v>1093.4352</v>
      </c>
      <c r="X11" s="29">
        <f>'2-ф2'!X7*Исх!$C$19</f>
        <v>1093.4352</v>
      </c>
      <c r="Y11" s="29">
        <f>'2-ф2'!Y7*Исх!$C$19</f>
        <v>1518.6599999999999</v>
      </c>
      <c r="Z11" s="29">
        <f>'2-ф2'!Z7*Исх!$C$19</f>
        <v>1214.9279999999997</v>
      </c>
      <c r="AA11" s="29">
        <f>'2-ф2'!AA7*Исх!$C$19</f>
        <v>911.1959999999999</v>
      </c>
      <c r="AB11" s="29">
        <f>'2-ф2'!AB7*Исх!$C$19</f>
        <v>455.59799999999996</v>
      </c>
      <c r="AC11" s="27">
        <f>SUM(Q11:AB11)</f>
        <v>13311.0549</v>
      </c>
      <c r="AD11" s="29">
        <f>'2-ф2'!AD7*Исх!$C$19</f>
        <v>875.1600000000001</v>
      </c>
      <c r="AE11" s="29">
        <f>'2-ф2'!AE7*Исх!$C$19</f>
        <v>1225.224</v>
      </c>
      <c r="AF11" s="29">
        <f>'2-ф2'!AF7*Исх!$C$19</f>
        <v>1400.256</v>
      </c>
      <c r="AG11" s="29">
        <f>'2-ф2'!AG7*Исх!$C$19</f>
        <v>1400.256</v>
      </c>
      <c r="AH11" s="29">
        <f>'2-ф2'!AH7*Исх!$C$19</f>
        <v>1750.3200000000002</v>
      </c>
      <c r="AI11" s="29">
        <f>'2-ф2'!AI7*Исх!$C$19</f>
        <v>1925.3519999999999</v>
      </c>
      <c r="AJ11" s="29">
        <f>'2-ф2'!AJ7*Исх!$C$19</f>
        <v>2100.384</v>
      </c>
      <c r="AK11" s="29">
        <f>'2-ф2'!AK7*Исх!$C$19</f>
        <v>1995.3647999999998</v>
      </c>
      <c r="AL11" s="29">
        <f>'2-ф2'!AL7*Исх!$C$19</f>
        <v>1487.772</v>
      </c>
      <c r="AM11" s="29">
        <f>'2-ф2'!AM7*Исх!$C$19</f>
        <v>1400.256</v>
      </c>
      <c r="AN11" s="29">
        <f>'2-ф2'!AN7*Исх!$C$19</f>
        <v>1050.192</v>
      </c>
      <c r="AO11" s="29">
        <f>'2-ф2'!AO7*Исх!$C$19</f>
        <v>525.096</v>
      </c>
      <c r="AP11" s="27">
        <f>SUM(AD11:AO11)</f>
        <v>17135.6328</v>
      </c>
      <c r="AQ11" s="29">
        <f>'2-ф2'!AQ7*Исх!$C$19</f>
        <v>19562.399999999998</v>
      </c>
      <c r="AR11" s="29">
        <f>'2-ф2'!AR7*Исх!$C$19</f>
        <v>20592.000000000004</v>
      </c>
      <c r="AS11" s="29">
        <f>'2-ф2'!AS7*Исх!$C$19</f>
        <v>20592.000000000004</v>
      </c>
      <c r="AT11" s="29">
        <f>'2-ф2'!AT7*Исх!$C$19</f>
        <v>20592.000000000004</v>
      </c>
      <c r="AU11" s="29">
        <f>'2-ф2'!AU7*Исх!$C$19</f>
        <v>20592.000000000004</v>
      </c>
    </row>
    <row r="12" spans="1:47" s="21" customFormat="1" ht="12.75">
      <c r="A12" s="30" t="s">
        <v>5</v>
      </c>
      <c r="B12" s="27">
        <f>SUM(B13:B17)</f>
        <v>271723.15378054354</v>
      </c>
      <c r="C12" s="27"/>
      <c r="D12" s="31">
        <f aca="true" t="shared" si="7" ref="D12:AU12">SUM(D13:D17)</f>
        <v>0</v>
      </c>
      <c r="E12" s="31">
        <f t="shared" si="7"/>
        <v>0</v>
      </c>
      <c r="F12" s="31">
        <f t="shared" si="7"/>
        <v>0</v>
      </c>
      <c r="G12" s="31">
        <f t="shared" si="7"/>
        <v>0</v>
      </c>
      <c r="H12" s="31">
        <f t="shared" si="7"/>
        <v>0</v>
      </c>
      <c r="I12" s="31">
        <f t="shared" si="7"/>
        <v>0</v>
      </c>
      <c r="J12" s="31">
        <f t="shared" si="7"/>
        <v>0</v>
      </c>
      <c r="K12" s="31">
        <f t="shared" si="7"/>
        <v>0</v>
      </c>
      <c r="L12" s="31">
        <f t="shared" si="7"/>
        <v>0</v>
      </c>
      <c r="M12" s="31">
        <f t="shared" si="7"/>
        <v>0</v>
      </c>
      <c r="N12" s="31">
        <f t="shared" si="7"/>
        <v>0</v>
      </c>
      <c r="O12" s="31">
        <f t="shared" si="7"/>
        <v>1395.8524159999997</v>
      </c>
      <c r="P12" s="31">
        <f t="shared" si="7"/>
        <v>1395.8524159999997</v>
      </c>
      <c r="Q12" s="31">
        <f t="shared" si="7"/>
        <v>2363.018844035714</v>
      </c>
      <c r="R12" s="31">
        <f t="shared" si="7"/>
        <v>2363.018844035714</v>
      </c>
      <c r="S12" s="31">
        <f t="shared" si="7"/>
        <v>2363.018844035714</v>
      </c>
      <c r="T12" s="31">
        <f t="shared" si="7"/>
        <v>2363.018844035714</v>
      </c>
      <c r="U12" s="31">
        <f t="shared" si="7"/>
        <v>2498.0693554110476</v>
      </c>
      <c r="V12" s="31">
        <f t="shared" si="7"/>
        <v>2466.4250445078096</v>
      </c>
      <c r="W12" s="31">
        <f t="shared" si="7"/>
        <v>2534.5023435478092</v>
      </c>
      <c r="X12" s="31">
        <f t="shared" si="7"/>
        <v>2534.5023435478092</v>
      </c>
      <c r="Y12" s="31">
        <f t="shared" si="7"/>
        <v>2618.3287421241985</v>
      </c>
      <c r="Z12" s="31">
        <f t="shared" si="7"/>
        <v>2657.239583452654</v>
      </c>
      <c r="AA12" s="31">
        <f t="shared" si="7"/>
        <v>2596.443460459526</v>
      </c>
      <c r="AB12" s="31">
        <f t="shared" si="7"/>
        <v>2505.5236745881753</v>
      </c>
      <c r="AC12" s="31">
        <f t="shared" si="7"/>
        <v>29863.109923781885</v>
      </c>
      <c r="AD12" s="31">
        <f t="shared" si="7"/>
        <v>2627.3569356866706</v>
      </c>
      <c r="AE12" s="31">
        <f t="shared" si="7"/>
        <v>2696.222015492859</v>
      </c>
      <c r="AF12" s="31">
        <f t="shared" si="7"/>
        <v>2730.36873449087</v>
      </c>
      <c r="AG12" s="31">
        <f t="shared" si="7"/>
        <v>2729.797073453321</v>
      </c>
      <c r="AH12" s="31">
        <f t="shared" si="7"/>
        <v>2916.4707095263866</v>
      </c>
      <c r="AI12" s="31">
        <f t="shared" si="7"/>
        <v>3087.618412200569</v>
      </c>
      <c r="AJ12" s="31">
        <f t="shared" si="7"/>
        <v>3342.41558188147</v>
      </c>
      <c r="AK12" s="31">
        <f t="shared" si="7"/>
        <v>3295.428568963414</v>
      </c>
      <c r="AL12" s="31">
        <f t="shared" si="7"/>
        <v>3070.5642083716416</v>
      </c>
      <c r="AM12" s="31">
        <f t="shared" si="7"/>
        <v>3031.303998504492</v>
      </c>
      <c r="AN12" s="31">
        <f t="shared" si="7"/>
        <v>2876.035595632738</v>
      </c>
      <c r="AO12" s="31">
        <f t="shared" si="7"/>
        <v>2643.427226241755</v>
      </c>
      <c r="AP12" s="31">
        <f t="shared" si="7"/>
        <v>35047.00906044619</v>
      </c>
      <c r="AQ12" s="31">
        <f t="shared" si="7"/>
        <v>39064.73309568839</v>
      </c>
      <c r="AR12" s="31">
        <f t="shared" si="7"/>
        <v>40974.57098895689</v>
      </c>
      <c r="AS12" s="31">
        <f t="shared" si="7"/>
        <v>41371.38145454292</v>
      </c>
      <c r="AT12" s="31">
        <f t="shared" si="7"/>
        <v>41786.135918610875</v>
      </c>
      <c r="AU12" s="31">
        <f t="shared" si="7"/>
        <v>42220.36092251639</v>
      </c>
    </row>
    <row r="13" spans="1:47" ht="12.75">
      <c r="A13" s="28" t="str">
        <f>'2-ф2'!A9</f>
        <v>Сырье и материалы</v>
      </c>
      <c r="B13" s="27">
        <f>P13+AC13+AP13+AQ13+AR13+AS13+AT13+AU13</f>
        <v>157831.026752</v>
      </c>
      <c r="C13" s="32"/>
      <c r="D13" s="29">
        <f>'2-ф2'!D9/2*Исх!$C$19+'2-ф2'!D9/2</f>
        <v>0</v>
      </c>
      <c r="E13" s="29">
        <f>'2-ф2'!E9/2*Исх!$C$19+'2-ф2'!E9/2</f>
        <v>0</v>
      </c>
      <c r="F13" s="29"/>
      <c r="G13" s="29">
        <f>'2-ф2'!G9/2*Исх!$C$19+'2-ф2'!G9/2</f>
        <v>0</v>
      </c>
      <c r="H13" s="29">
        <f>'2-ф2'!H9/2*Исх!$C$19+'2-ф2'!H9/2</f>
        <v>0</v>
      </c>
      <c r="I13" s="29">
        <f>'2-ф2'!I9/2*Исх!$C$19+'2-ф2'!I9/2</f>
        <v>0</v>
      </c>
      <c r="J13" s="29">
        <f>'2-ф2'!J9*Исх!$C$19</f>
        <v>0</v>
      </c>
      <c r="K13" s="29">
        <f>'2-ф2'!K9*Исх!$C$19</f>
        <v>0</v>
      </c>
      <c r="L13" s="29">
        <f>'2-ф2'!L9*Исх!$C$19</f>
        <v>0</v>
      </c>
      <c r="M13" s="29">
        <f>'2-ф2'!M9*Исх!$C$19</f>
        <v>0</v>
      </c>
      <c r="N13" s="29">
        <f>'2-ф2'!N9*Исх!$C$19</f>
        <v>0</v>
      </c>
      <c r="O13" s="29">
        <f>Q13*1</f>
        <v>1395.8524159999997</v>
      </c>
      <c r="P13" s="27">
        <f>SUM(D13:O13)</f>
        <v>1395.8524159999997</v>
      </c>
      <c r="Q13" s="29">
        <f>(Производство!Q8*'Расх перем'!$B$16+Производство!Q9*'Расх перем'!$D$16)*Исх!$C$19</f>
        <v>1395.8524159999997</v>
      </c>
      <c r="R13" s="29">
        <f>(Производство!R8*'Расх перем'!$B$16+Производство!R9*'Расх перем'!$D$16)*Исх!$C$19</f>
        <v>1395.8524159999997</v>
      </c>
      <c r="S13" s="29">
        <f>(Производство!S8*'Расх перем'!$B$16+Производство!S9*'Расх перем'!$D$16)*Исх!$C$19</f>
        <v>1395.8524159999997</v>
      </c>
      <c r="T13" s="29">
        <f>(Производство!T8*'Расх перем'!$B$16+Производство!T9*'Расх перем'!$D$16)*Исх!$C$19</f>
        <v>1395.8524159999997</v>
      </c>
      <c r="U13" s="29">
        <f>(Производство!U8*'Расх перем'!$B$16+Производство!U9*'Расх перем'!$D$16)*Исх!$C$19</f>
        <v>1395.8524159999997</v>
      </c>
      <c r="V13" s="29">
        <f>(Производство!V8*'Расх перем'!$B$16+Производство!V9*'Расх перем'!$D$16)*Исх!$C$19</f>
        <v>1395.8524159999997</v>
      </c>
      <c r="W13" s="29">
        <f>(Производство!W8*'Расх перем'!$B$16+Производство!W9*'Расх перем'!$D$16)*Исх!$C$19</f>
        <v>1495.5561599999999</v>
      </c>
      <c r="X13" s="29">
        <f>(Производство!X8*'Расх перем'!$B$16+Производство!X9*'Расх перем'!$D$16)*Исх!$C$19</f>
        <v>1495.5561599999999</v>
      </c>
      <c r="Y13" s="29">
        <f>(Производство!Y8*'Расх перем'!$B$16+Производство!Y9*'Расх перем'!$D$16)*Исх!$C$19</f>
        <v>1495.5561599999999</v>
      </c>
      <c r="Z13" s="29">
        <f>(Производство!Z8*'Расх перем'!$B$16+Производство!Z9*'Расх перем'!$D$16)*Исх!$C$19</f>
        <v>1595.259904</v>
      </c>
      <c r="AA13" s="29">
        <f>(Производство!AA8*'Расх перем'!$B$16+Производство!AA9*'Расх перем'!$D$16)*Исх!$C$19</f>
        <v>1595.259904</v>
      </c>
      <c r="AB13" s="29">
        <f>(Производство!AB8*'Расх перем'!$B$16+Производство!AB9*'Расх перем'!$D$16)*Исх!$C$19</f>
        <v>1595.259904</v>
      </c>
      <c r="AC13" s="27">
        <f>SUM(Q13:AB13)</f>
        <v>17647.562687999998</v>
      </c>
      <c r="AD13" s="29">
        <f>(Производство!AD8*'Расх перем'!$B$16+Производство!AD9*'Расх перем'!$D$16)*Исх!$C$19</f>
        <v>1595.259904</v>
      </c>
      <c r="AE13" s="29">
        <f>(Производство!AE8*'Расх перем'!$B$16+Производство!AE9*'Расх перем'!$D$16)*Исх!$C$19</f>
        <v>1595.259904</v>
      </c>
      <c r="AF13" s="29">
        <f>(Производство!AF8*'Расх перем'!$B$16+Производство!AF9*'Расх перем'!$D$16)*Исх!$C$19</f>
        <v>1595.259904</v>
      </c>
      <c r="AG13" s="29">
        <f>(Производство!AG8*'Расх перем'!$B$16+Производство!AG9*'Расх перем'!$D$16)*Исх!$C$19</f>
        <v>1595.259904</v>
      </c>
      <c r="AH13" s="29">
        <f>(Производство!AH8*'Расх перем'!$B$16+Производство!AH9*'Расх перем'!$D$16)*Исх!$C$19</f>
        <v>1595.259904</v>
      </c>
      <c r="AI13" s="29">
        <f>(Производство!AI8*'Расх перем'!$B$16+Производство!AI9*'Расх перем'!$D$16)*Исх!$C$19</f>
        <v>1595.259904</v>
      </c>
      <c r="AJ13" s="29">
        <f>(Производство!AJ8*'Расх перем'!$B$16+Производство!AJ9*'Расх перем'!$D$16)*Исх!$C$19</f>
        <v>1794.6673919999998</v>
      </c>
      <c r="AK13" s="29">
        <f>(Производство!AK8*'Расх перем'!$B$16+Производство!AK9*'Расх перем'!$D$16)*Исх!$C$19</f>
        <v>1794.6673919999998</v>
      </c>
      <c r="AL13" s="29">
        <f>(Производство!AL8*'Расх перем'!$B$16+Производство!AL9*'Расх перем'!$D$16)*Исх!$C$19</f>
        <v>1794.6673919999998</v>
      </c>
      <c r="AM13" s="29">
        <f>(Производство!AM8*'Расх перем'!$B$16+Производство!AM9*'Расх перем'!$D$16)*Исх!$C$19</f>
        <v>1794.6673919999998</v>
      </c>
      <c r="AN13" s="29">
        <f>(Производство!AN8*'Расх перем'!$B$16+Производство!AN9*'Расх перем'!$D$16)*Исх!$C$19</f>
        <v>1794.6673919999998</v>
      </c>
      <c r="AO13" s="29">
        <f>(Производство!AO8*'Расх перем'!$B$16+Производство!AO9*'Расх перем'!$D$16)*Исх!$C$19</f>
        <v>1794.6673919999998</v>
      </c>
      <c r="AP13" s="27">
        <f>SUM(AD13:AO13)</f>
        <v>20339.563776</v>
      </c>
      <c r="AQ13" s="29">
        <f>(Производство!AQ8*'Расх перем'!$B$16+Производство!AQ9*'Расх перем'!$D$16)*Исх!$C$19</f>
        <v>22732.453632</v>
      </c>
      <c r="AR13" s="29">
        <f>(Производство!AR8*'Расх перем'!$B$16+Производство!AR9*'Расх перем'!$D$16)*Исх!$C$19</f>
        <v>23928.898559999998</v>
      </c>
      <c r="AS13" s="29">
        <f>(Производство!AS8*'Расх перем'!$B$16+Производство!AS9*'Расх перем'!$D$16)*Исх!$C$19</f>
        <v>23928.898559999998</v>
      </c>
      <c r="AT13" s="29">
        <f>(Производство!AT8*'Расх перем'!$B$16+Производство!AT9*'Расх перем'!$D$16)*Исх!$C$19</f>
        <v>23928.898559999998</v>
      </c>
      <c r="AU13" s="29">
        <f>(Производство!AU8*'Расх перем'!$B$16+Производство!AU9*'Расх перем'!$D$16)*Исх!$C$19</f>
        <v>23928.898559999998</v>
      </c>
    </row>
    <row r="14" spans="1:47" ht="12.75">
      <c r="A14" s="28" t="s">
        <v>145</v>
      </c>
      <c r="B14" s="27">
        <f>P14+AC14+AP14+AQ14+AR14+AS14+AT14+AU14</f>
        <v>94294.265625029</v>
      </c>
      <c r="C14" s="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7">
        <f>SUM(D14:O14)</f>
        <v>0</v>
      </c>
      <c r="Q14" s="29">
        <f>(Пост!$D$16-Пост!$D$5)*Исх!$C$19+Пост!$D$5+Пост!$D$18+Пост!$D$21</f>
        <v>967.1664280357144</v>
      </c>
      <c r="R14" s="29">
        <f>(Пост!$D$16-Пост!$D$5)*Исх!$C$19+Пост!$D$5+Пост!$D$18+Пост!$D$21</f>
        <v>967.1664280357144</v>
      </c>
      <c r="S14" s="29">
        <f>(Пост!$D$16-Пост!$D$5)*Исх!$C$19+Пост!$D$5+Пост!$D$18+Пост!$D$21</f>
        <v>967.1664280357144</v>
      </c>
      <c r="T14" s="29">
        <f>(Пост!$D$16-Пост!$D$5)*Исх!$C$19+Пост!$D$5+Пост!$D$18+Пост!$D$21</f>
        <v>967.1664280357144</v>
      </c>
      <c r="U14" s="29">
        <f>(Пост!$D$16-Пост!$D$5)*Исх!$C$19+Пост!$D$5+Пост!$D$18+Пост!$D$21</f>
        <v>967.1664280357144</v>
      </c>
      <c r="V14" s="29">
        <f>(Пост!$D$16-Пост!$D$5)*Исх!$C$19+Пост!$D$5+Пост!$D$18+Пост!$D$21</f>
        <v>967.1664280357144</v>
      </c>
      <c r="W14" s="29">
        <f>(Пост!$D$16-Пост!$D$5)*Исх!$C$19+Пост!$D$5+Пост!$D$18+Пост!$D$21</f>
        <v>967.1664280357144</v>
      </c>
      <c r="X14" s="29">
        <f>(Пост!$D$16-Пост!$D$5)*Исх!$C$19+Пост!$D$5+Пост!$D$18+Пост!$D$21</f>
        <v>967.1664280357144</v>
      </c>
      <c r="Y14" s="29">
        <f>(Пост!$D$16-Пост!$D$5)*Исх!$C$19+Пост!$D$5+Пост!$D$18+Пост!$D$21</f>
        <v>967.1664280357144</v>
      </c>
      <c r="Z14" s="29">
        <f>(Пост!$D$16-Пост!$D$5)*Исх!$C$19+Пост!$D$5+Пост!$D$18+Пост!$D$21</f>
        <v>967.1664280357144</v>
      </c>
      <c r="AA14" s="29">
        <f>(Пост!$D$16-Пост!$D$5)*Исх!$C$19+Пост!$D$5+Пост!$D$18+Пост!$D$21</f>
        <v>967.1664280357144</v>
      </c>
      <c r="AB14" s="29">
        <f>(Пост!$D$16-Пост!$D$5)*Исх!$C$19+Пост!$D$5+Пост!$D$18+Пост!$D$21</f>
        <v>967.1664280357144</v>
      </c>
      <c r="AC14" s="27">
        <f>SUM(Q14:AB14)</f>
        <v>11605.997136428572</v>
      </c>
      <c r="AD14" s="29">
        <f>(Пост!$E$16-Пост!$E$5)*Исх!$C$19+Пост!$E$5+Пост!$E$18+Пост!$E$21</f>
        <v>1015.5978399642858</v>
      </c>
      <c r="AE14" s="29">
        <f>(Пост!$E$16-Пост!$E$5)*Исх!$C$19+Пост!$E$5+Пост!$E$18+Пост!$E$21</f>
        <v>1015.5978399642858</v>
      </c>
      <c r="AF14" s="29">
        <f>(Пост!$E$16-Пост!$E$5)*Исх!$C$19+Пост!$E$5+Пост!$E$18+Пост!$E$21</f>
        <v>1015.5978399642858</v>
      </c>
      <c r="AG14" s="29">
        <f>(Пост!$E$16-Пост!$E$5)*Исх!$C$19+Пост!$E$5+Пост!$E$18+Пост!$E$21</f>
        <v>1015.5978399642858</v>
      </c>
      <c r="AH14" s="29">
        <f>(Пост!$E$16-Пост!$E$5)*Исх!$C$19+Пост!$E$5+Пост!$E$18+Пост!$E$21</f>
        <v>1015.5978399642858</v>
      </c>
      <c r="AI14" s="29">
        <f>(Пост!$E$16-Пост!$E$5)*Исх!$C$19+Пост!$E$5+Пост!$E$18+Пост!$E$21</f>
        <v>1015.5978399642858</v>
      </c>
      <c r="AJ14" s="29">
        <f>(Пост!$E$16-Пост!$E$5)*Исх!$C$19+Пост!$E$5+Пост!$E$18+Пост!$E$21</f>
        <v>1015.5978399642858</v>
      </c>
      <c r="AK14" s="29">
        <f>(Пост!$E$16-Пост!$E$5)*Исх!$C$19+Пост!$E$5+Пост!$E$18+Пост!$E$21</f>
        <v>1015.5978399642858</v>
      </c>
      <c r="AL14" s="29">
        <f>(Пост!$E$16-Пост!$E$5)*Исх!$C$19+Пост!$E$5+Пост!$E$18+Пост!$E$21</f>
        <v>1015.5978399642858</v>
      </c>
      <c r="AM14" s="29">
        <f>(Пост!$E$16-Пост!$E$5)*Исх!$C$19+Пост!$E$5+Пост!$E$18+Пост!$E$21</f>
        <v>1015.5978399642858</v>
      </c>
      <c r="AN14" s="29">
        <f>(Пост!$E$16-Пост!$E$5)*Исх!$C$19+Пост!$E$5+Пост!$E$18+Пост!$E$21</f>
        <v>1015.5978399642858</v>
      </c>
      <c r="AO14" s="29">
        <f>(Пост!$E$16-Пост!$E$5)*Исх!$C$19+Пост!$E$5+Пост!$E$18+Пост!$E$21</f>
        <v>1015.5978399642858</v>
      </c>
      <c r="AP14" s="27">
        <f>SUM(AD14:AO14)</f>
        <v>12187.17407957143</v>
      </c>
      <c r="AQ14" s="29">
        <f>((Пост!F16-Пост!F5)*Исх!$C$19+Пост!F5+Пост!F18+Пост!F21)*12</f>
        <v>12794.223753514289</v>
      </c>
      <c r="AR14" s="29">
        <f>((Пост!G16-Пост!G5)*Исх!$C$19+Пост!G5+Пост!G18+Пост!G21)*12</f>
        <v>13421.124738797142</v>
      </c>
      <c r="AS14" s="29">
        <f>((Пост!H16-Пост!H5)*Исх!$C$19+Пост!H5+Пост!H18+Пост!H21)*12</f>
        <v>14069.365536986996</v>
      </c>
      <c r="AT14" s="29">
        <f>((Пост!I16-Пост!I5)*Исх!$C$19+Пост!I5+Пост!I18+Пост!I21)*12</f>
        <v>14750.427794729207</v>
      </c>
      <c r="AU14" s="29">
        <f>((Пост!J16-Пост!J5)*Исх!$C$19+Пост!J5+Пост!J18+Пост!J21)*12</f>
        <v>15465.95258500138</v>
      </c>
    </row>
    <row r="15" spans="1:47" ht="12.75">
      <c r="A15" s="28" t="s">
        <v>54</v>
      </c>
      <c r="B15" s="27">
        <f>P15+AC15+AP15+AQ15+AR15+AS15+AT15+AU15</f>
        <v>2812.9202711682738</v>
      </c>
      <c r="C15" s="27"/>
      <c r="D15" s="29">
        <f>кр!C26</f>
        <v>0</v>
      </c>
      <c r="E15" s="29">
        <f>кр!D26</f>
        <v>0</v>
      </c>
      <c r="F15" s="29">
        <f>кр!E26</f>
        <v>0</v>
      </c>
      <c r="G15" s="29">
        <f>кр!F26</f>
        <v>0</v>
      </c>
      <c r="H15" s="29">
        <f>кр!G26</f>
        <v>0</v>
      </c>
      <c r="I15" s="29">
        <f>кр!H26</f>
        <v>0</v>
      </c>
      <c r="J15" s="29">
        <f>кр!I26</f>
        <v>0</v>
      </c>
      <c r="K15" s="29">
        <f>кр!J26</f>
        <v>0</v>
      </c>
      <c r="L15" s="29">
        <f>кр!K26</f>
        <v>0</v>
      </c>
      <c r="M15" s="29">
        <f>кр!L26</f>
        <v>0</v>
      </c>
      <c r="N15" s="29">
        <f>кр!M26</f>
        <v>0</v>
      </c>
      <c r="O15" s="29">
        <f>кр!N26</f>
        <v>0</v>
      </c>
      <c r="P15" s="27">
        <f>SUM(D15:O15)</f>
        <v>0</v>
      </c>
      <c r="Q15" s="29">
        <f>кр!P26</f>
        <v>0</v>
      </c>
      <c r="R15" s="29">
        <f>кр!Q26</f>
        <v>0</v>
      </c>
      <c r="S15" s="29">
        <f>кр!R26</f>
        <v>0</v>
      </c>
      <c r="T15" s="29">
        <f>кр!S26</f>
        <v>0</v>
      </c>
      <c r="U15" s="29">
        <f>кр!T26</f>
        <v>59.85663474000001</v>
      </c>
      <c r="V15" s="29">
        <f>кр!U26</f>
        <v>64.34335698000001</v>
      </c>
      <c r="W15" s="29">
        <f>кр!V26</f>
        <v>64.34335698000001</v>
      </c>
      <c r="X15" s="29">
        <f>кр!W26</f>
        <v>64.34335698000001</v>
      </c>
      <c r="Y15" s="29">
        <f>кр!X26</f>
        <v>63.70487200048652</v>
      </c>
      <c r="Z15" s="29">
        <f>кр!Y26</f>
        <v>63.014803089627165</v>
      </c>
      <c r="AA15" s="29">
        <f>кр!Z26</f>
        <v>62.3207087767878</v>
      </c>
      <c r="AB15" s="29">
        <f>кр!AA26</f>
        <v>61.62256558045688</v>
      </c>
      <c r="AC15" s="27">
        <f>SUM(Q15:AB15)</f>
        <v>503.5496551273584</v>
      </c>
      <c r="AD15" s="29">
        <f>кр!AC26</f>
        <v>60.92034988214734</v>
      </c>
      <c r="AE15" s="29">
        <f>кр!AD26</f>
        <v>60.21403792559767</v>
      </c>
      <c r="AF15" s="29">
        <f>кр!AE26</f>
        <v>59.503605815968136</v>
      </c>
      <c r="AG15" s="29">
        <f>кр!AF26</f>
        <v>58.78902951903241</v>
      </c>
      <c r="AH15" s="29">
        <f>кр!AG26</f>
        <v>58.07028486036458</v>
      </c>
      <c r="AI15" s="29">
        <f>кр!AH26</f>
        <v>57.34734752452117</v>
      </c>
      <c r="AJ15" s="29">
        <f>кр!AI26</f>
        <v>56.620193054218696</v>
      </c>
      <c r="AK15" s="29">
        <f>кр!AJ26</f>
        <v>55.88879684950611</v>
      </c>
      <c r="AL15" s="29">
        <f>кр!AK26</f>
        <v>55.15313416693269</v>
      </c>
      <c r="AM15" s="29">
        <f>кр!AL26</f>
        <v>54.41318011871093</v>
      </c>
      <c r="AN15" s="29">
        <f>кр!AM26</f>
        <v>53.66890967187455</v>
      </c>
      <c r="AO15" s="29">
        <f>кр!AN26</f>
        <v>52.920297647431624</v>
      </c>
      <c r="AP15" s="27">
        <f>SUM(AD15:AO15)</f>
        <v>683.5091670363058</v>
      </c>
      <c r="AQ15" s="34">
        <f>кр!BB26</f>
        <v>575.036481810477</v>
      </c>
      <c r="AR15" s="34">
        <f>кр!BO26</f>
        <v>458.7222973989796</v>
      </c>
      <c r="AS15" s="34">
        <f>кр!CB26</f>
        <v>333.9997511916481</v>
      </c>
      <c r="AT15" s="34">
        <f>кр!CO26</f>
        <v>200.26100203439302</v>
      </c>
      <c r="AU15" s="34">
        <f>кр!DB26</f>
        <v>57.841916569111646</v>
      </c>
    </row>
    <row r="16" spans="1:47" ht="14.25" customHeight="1">
      <c r="A16" s="28" t="s">
        <v>209</v>
      </c>
      <c r="B16" s="27">
        <f>P16+AC16+AP16+AQ16+AR16+AS16+AT16+AU16</f>
        <v>6610.6128376998295</v>
      </c>
      <c r="C16" s="27"/>
      <c r="D16" s="29">
        <f>'2-ф2'!D15</f>
        <v>0</v>
      </c>
      <c r="E16" s="29">
        <f>'2-ф2'!E15</f>
        <v>0</v>
      </c>
      <c r="F16" s="29">
        <f>'2-ф2'!F15</f>
        <v>0</v>
      </c>
      <c r="G16" s="29">
        <f>'2-ф2'!G15</f>
        <v>0</v>
      </c>
      <c r="H16" s="29">
        <f>'2-ф2'!H15</f>
        <v>0</v>
      </c>
      <c r="I16" s="29">
        <f>'2-ф2'!I15</f>
        <v>0</v>
      </c>
      <c r="J16" s="29">
        <f>'2-ф2'!J15</f>
        <v>0</v>
      </c>
      <c r="K16" s="29">
        <f>'2-ф2'!K15</f>
        <v>0</v>
      </c>
      <c r="L16" s="29">
        <f>'2-ф2'!L15</f>
        <v>0</v>
      </c>
      <c r="M16" s="29">
        <f>'2-ф2'!M15</f>
        <v>0</v>
      </c>
      <c r="N16" s="29">
        <f>'2-ф2'!N15</f>
        <v>0</v>
      </c>
      <c r="O16" s="29">
        <f>'2-ф2'!O15</f>
        <v>0</v>
      </c>
      <c r="P16" s="27">
        <f>SUM(D16:O16)</f>
        <v>0</v>
      </c>
      <c r="Q16" s="29">
        <f>'2-ф2'!Q15</f>
        <v>0</v>
      </c>
      <c r="R16" s="29">
        <f>'2-ф2'!R15</f>
        <v>0</v>
      </c>
      <c r="S16" s="29">
        <f>'2-ф2'!S15</f>
        <v>0</v>
      </c>
      <c r="T16" s="29">
        <f>'2-ф2'!T15</f>
        <v>0</v>
      </c>
      <c r="U16" s="29">
        <f>'2-ф2'!U15</f>
        <v>75.1938766353333</v>
      </c>
      <c r="V16" s="29">
        <f>'2-ф2'!V15</f>
        <v>39.06284349209527</v>
      </c>
      <c r="W16" s="29">
        <f>'2-ф2'!W15</f>
        <v>7.436398532095196</v>
      </c>
      <c r="X16" s="29">
        <f>'2-ф2'!X15</f>
        <v>7.436398532095196</v>
      </c>
      <c r="Y16" s="29">
        <f>'2-ф2'!Y15</f>
        <v>91.90128208799801</v>
      </c>
      <c r="Z16" s="29">
        <f>'2-ф2'!Z15</f>
        <v>31.798448327312595</v>
      </c>
      <c r="AA16" s="29">
        <f>'2-ф2'!AA15</f>
        <v>-28.303580352976606</v>
      </c>
      <c r="AB16" s="29">
        <f>'2-ф2'!AB15</f>
        <v>-118.52522302799615</v>
      </c>
      <c r="AC16" s="27">
        <f>SUM(Q16:AB16)</f>
        <v>106.00044422595683</v>
      </c>
      <c r="AD16" s="29">
        <f>'2-ф2'!AD15</f>
        <v>-44.42115815976283</v>
      </c>
      <c r="AE16" s="29">
        <f>'2-ф2'!AE15</f>
        <v>25.15023360297566</v>
      </c>
      <c r="AF16" s="29">
        <f>'2-ф2'!AF15</f>
        <v>60.00738471061582</v>
      </c>
      <c r="AG16" s="29">
        <f>'2-ф2'!AG15</f>
        <v>60.15029997000296</v>
      </c>
      <c r="AH16" s="29">
        <f>'2-ф2'!AH15</f>
        <v>129.72417827316514</v>
      </c>
      <c r="AI16" s="29">
        <f>'2-ф2'!AI15</f>
        <v>164.58383042604802</v>
      </c>
      <c r="AJ16" s="29">
        <f>'2-ф2'!AJ15</f>
        <v>199.44432600582286</v>
      </c>
      <c r="AK16" s="29">
        <f>'2-ф2'!AK15</f>
        <v>178.7615664353367</v>
      </c>
      <c r="AL16" s="29">
        <f>'2-ф2'!AL15</f>
        <v>78.23501138328017</v>
      </c>
      <c r="AM16" s="29">
        <f>'2-ф2'!AM15</f>
        <v>61.02546985006725</v>
      </c>
      <c r="AN16" s="29">
        <f>'2-ф2'!AN15</f>
        <v>-8.255805431994006</v>
      </c>
      <c r="AO16" s="29">
        <f>'2-ф2'!AO15</f>
        <v>-112.25127708424827</v>
      </c>
      <c r="AP16" s="27">
        <f>SUM(AD16:AO16)</f>
        <v>792.1540599813095</v>
      </c>
      <c r="AQ16" s="29">
        <f>'2-ф2'!AQ15</f>
        <v>1179.1675117921893</v>
      </c>
      <c r="AR16" s="29">
        <f>'2-ф2'!AR15</f>
        <v>1286.7080384750618</v>
      </c>
      <c r="AS16" s="29">
        <f>'2-ф2'!AS15</f>
        <v>1187.5054220785573</v>
      </c>
      <c r="AT16" s="29">
        <f>'2-ф2'!AT15</f>
        <v>1083.8168060615662</v>
      </c>
      <c r="AU16" s="29">
        <f>'2-ф2'!AU15</f>
        <v>975.2605550851881</v>
      </c>
    </row>
    <row r="17" spans="1:47" ht="12.75">
      <c r="A17" s="28" t="s">
        <v>34</v>
      </c>
      <c r="B17" s="27">
        <f>P17+AC17+AP17+AQ17+AR17+AS17+AT17+AU17</f>
        <v>10174.328294646428</v>
      </c>
      <c r="C17" s="27"/>
      <c r="D17" s="29">
        <f>'2-ф2'!D28</f>
        <v>0</v>
      </c>
      <c r="E17" s="29">
        <f>'2-ф2'!E28</f>
        <v>0</v>
      </c>
      <c r="F17" s="29">
        <f>'2-ф2'!F28</f>
        <v>0</v>
      </c>
      <c r="G17" s="29">
        <f>'2-ф2'!G28</f>
        <v>0</v>
      </c>
      <c r="H17" s="29">
        <f>'2-ф2'!H28</f>
        <v>0</v>
      </c>
      <c r="I17" s="29">
        <f>'2-ф2'!I28</f>
        <v>0</v>
      </c>
      <c r="J17" s="29">
        <f>'2-ф2'!J28</f>
        <v>0</v>
      </c>
      <c r="K17" s="29">
        <f>'2-ф2'!K28</f>
        <v>0</v>
      </c>
      <c r="L17" s="29">
        <f>'2-ф2'!L28</f>
        <v>0</v>
      </c>
      <c r="M17" s="29">
        <f>'2-ф2'!M28</f>
        <v>0</v>
      </c>
      <c r="N17" s="29">
        <f>'2-ф2'!N28</f>
        <v>0</v>
      </c>
      <c r="O17" s="29">
        <f>'2-ф2'!O28</f>
        <v>0</v>
      </c>
      <c r="P17" s="27">
        <f>SUM(D17:O17)</f>
        <v>0</v>
      </c>
      <c r="Q17" s="29">
        <f>'2-ф2'!Q28</f>
        <v>0</v>
      </c>
      <c r="R17" s="29">
        <f>'2-ф2'!R28</f>
        <v>0</v>
      </c>
      <c r="S17" s="29">
        <f>'2-ф2'!S28</f>
        <v>0</v>
      </c>
      <c r="T17" s="29">
        <f>'2-ф2'!T28</f>
        <v>0</v>
      </c>
      <c r="U17" s="29">
        <f>'2-ф2'!U28</f>
        <v>0</v>
      </c>
      <c r="V17" s="29">
        <f>'2-ф2'!V28</f>
        <v>0</v>
      </c>
      <c r="W17" s="29">
        <f>'2-ф2'!W28</f>
        <v>0</v>
      </c>
      <c r="X17" s="29">
        <f>'2-ф2'!X28</f>
        <v>0</v>
      </c>
      <c r="Y17" s="29">
        <f>'2-ф2'!Y28</f>
        <v>0</v>
      </c>
      <c r="Z17" s="29">
        <f>'2-ф2'!Z28</f>
        <v>0</v>
      </c>
      <c r="AA17" s="29">
        <f>'2-ф2'!AA28</f>
        <v>0</v>
      </c>
      <c r="AB17" s="29">
        <f>'2-ф2'!AB28</f>
        <v>0</v>
      </c>
      <c r="AC17" s="27">
        <f>SUM(Q17:AB17)</f>
        <v>0</v>
      </c>
      <c r="AD17" s="29">
        <f>'2-ф2'!AD28</f>
        <v>0</v>
      </c>
      <c r="AE17" s="29">
        <f>'2-ф2'!AE28</f>
        <v>0</v>
      </c>
      <c r="AF17" s="29">
        <f>'2-ф2'!AF28</f>
        <v>0</v>
      </c>
      <c r="AG17" s="29">
        <f>'2-ф2'!AG28</f>
        <v>0</v>
      </c>
      <c r="AH17" s="29">
        <f>'2-ф2'!AH28</f>
        <v>117.81850242857098</v>
      </c>
      <c r="AI17" s="29">
        <f>'2-ф2'!AI28</f>
        <v>254.82949028571414</v>
      </c>
      <c r="AJ17" s="29">
        <f>'2-ф2'!AJ28</f>
        <v>276.0858308571427</v>
      </c>
      <c r="AK17" s="29">
        <f>'2-ф2'!AK28</f>
        <v>250.51297371428555</v>
      </c>
      <c r="AL17" s="29">
        <f>'2-ф2'!AL28</f>
        <v>126.91083085714283</v>
      </c>
      <c r="AM17" s="29">
        <f>'2-ф2'!AM28</f>
        <v>105.60011657142852</v>
      </c>
      <c r="AN17" s="29">
        <f>'2-ф2'!AN28</f>
        <v>20.357259428571382</v>
      </c>
      <c r="AO17" s="29">
        <f>'2-ф2'!AO28</f>
        <v>-107.50702628571429</v>
      </c>
      <c r="AP17" s="27">
        <f>SUM(AD17:AO17)</f>
        <v>1044.6079778571416</v>
      </c>
      <c r="AQ17" s="29">
        <f>'2-ф2'!AQ28</f>
        <v>1783.851716571428</v>
      </c>
      <c r="AR17" s="29">
        <f>'2-ф2'!AR28</f>
        <v>1879.117354285715</v>
      </c>
      <c r="AS17" s="29">
        <f>'2-ф2'!AS28</f>
        <v>1851.612184285715</v>
      </c>
      <c r="AT17" s="29">
        <f>'2-ф2'!AT28</f>
        <v>1822.7317557857145</v>
      </c>
      <c r="AU17" s="29">
        <f>'2-ф2'!AU28</f>
        <v>1792.4073058607146</v>
      </c>
    </row>
    <row r="18" spans="1:47" s="21" customFormat="1" ht="25.5">
      <c r="A18" s="35" t="s">
        <v>19</v>
      </c>
      <c r="B18" s="18">
        <f>B9-B12</f>
        <v>29133.86371945642</v>
      </c>
      <c r="C18" s="18"/>
      <c r="D18" s="18">
        <f aca="true" t="shared" si="8" ref="D18:AU18">D9-D12</f>
        <v>0</v>
      </c>
      <c r="E18" s="18">
        <f t="shared" si="8"/>
        <v>0</v>
      </c>
      <c r="F18" s="18">
        <f t="shared" si="8"/>
        <v>0</v>
      </c>
      <c r="G18" s="18">
        <f t="shared" si="8"/>
        <v>0</v>
      </c>
      <c r="H18" s="18">
        <f t="shared" si="8"/>
        <v>0</v>
      </c>
      <c r="I18" s="18">
        <f t="shared" si="8"/>
        <v>0</v>
      </c>
      <c r="J18" s="18">
        <f t="shared" si="8"/>
        <v>0</v>
      </c>
      <c r="K18" s="18">
        <f t="shared" si="8"/>
        <v>0</v>
      </c>
      <c r="L18" s="18">
        <f t="shared" si="8"/>
        <v>0</v>
      </c>
      <c r="M18" s="18">
        <f t="shared" si="8"/>
        <v>0</v>
      </c>
      <c r="N18" s="18">
        <f t="shared" si="8"/>
        <v>0</v>
      </c>
      <c r="O18" s="18">
        <f t="shared" si="8"/>
        <v>-1395.8524159999997</v>
      </c>
      <c r="P18" s="18">
        <f t="shared" si="8"/>
        <v>-1395.8524159999997</v>
      </c>
      <c r="Q18" s="18">
        <f t="shared" si="8"/>
        <v>-637.2688440357142</v>
      </c>
      <c r="R18" s="18">
        <f t="shared" si="8"/>
        <v>53.03115596428597</v>
      </c>
      <c r="S18" s="18">
        <f t="shared" si="8"/>
        <v>398.1811559642856</v>
      </c>
      <c r="T18" s="18">
        <f t="shared" si="8"/>
        <v>398.1811559642856</v>
      </c>
      <c r="U18" s="18">
        <f t="shared" si="8"/>
        <v>953.4306445889524</v>
      </c>
      <c r="V18" s="18">
        <f t="shared" si="8"/>
        <v>381.06245549219057</v>
      </c>
      <c r="W18" s="18">
        <f t="shared" si="8"/>
        <v>-49.422343547809305</v>
      </c>
      <c r="X18" s="18">
        <f t="shared" si="8"/>
        <v>-49.422343547809305</v>
      </c>
      <c r="Y18" s="18">
        <f t="shared" si="8"/>
        <v>833.1712578758015</v>
      </c>
      <c r="Z18" s="18">
        <f t="shared" si="8"/>
        <v>103.96041654734563</v>
      </c>
      <c r="AA18" s="18">
        <f t="shared" si="8"/>
        <v>-525.5434604595262</v>
      </c>
      <c r="AB18" s="18">
        <f t="shared" si="8"/>
        <v>-1470.0736745881754</v>
      </c>
      <c r="AC18" s="18">
        <f t="shared" si="8"/>
        <v>389.2875762181138</v>
      </c>
      <c r="AD18" s="18">
        <f t="shared" si="8"/>
        <v>-638.3569356866706</v>
      </c>
      <c r="AE18" s="18">
        <f t="shared" si="8"/>
        <v>88.37798450714035</v>
      </c>
      <c r="AF18" s="18">
        <f t="shared" si="8"/>
        <v>452.03126550912975</v>
      </c>
      <c r="AG18" s="18">
        <f t="shared" si="8"/>
        <v>452.60292654667865</v>
      </c>
      <c r="AH18" s="18">
        <f t="shared" si="8"/>
        <v>1061.5292904736134</v>
      </c>
      <c r="AI18" s="18">
        <f t="shared" si="8"/>
        <v>1288.1815877994304</v>
      </c>
      <c r="AJ18" s="18">
        <f t="shared" si="8"/>
        <v>1431.1844181185293</v>
      </c>
      <c r="AK18" s="18">
        <f t="shared" si="8"/>
        <v>1239.4914310365853</v>
      </c>
      <c r="AL18" s="18">
        <f t="shared" si="8"/>
        <v>310.73579162835813</v>
      </c>
      <c r="AM18" s="18">
        <f t="shared" si="8"/>
        <v>151.0960014955076</v>
      </c>
      <c r="AN18" s="18">
        <f t="shared" si="8"/>
        <v>-489.2355956327383</v>
      </c>
      <c r="AO18" s="18">
        <f t="shared" si="8"/>
        <v>-1450.027226241755</v>
      </c>
      <c r="AP18" s="18">
        <f t="shared" si="8"/>
        <v>3897.610939553808</v>
      </c>
      <c r="AQ18" s="18">
        <f t="shared" si="8"/>
        <v>5395.266904311611</v>
      </c>
      <c r="AR18" s="18">
        <f t="shared" si="8"/>
        <v>5825.42901104311</v>
      </c>
      <c r="AS18" s="18">
        <f t="shared" si="8"/>
        <v>5428.6185454570805</v>
      </c>
      <c r="AT18" s="18">
        <f t="shared" si="8"/>
        <v>5013.864081389125</v>
      </c>
      <c r="AU18" s="18">
        <f t="shared" si="8"/>
        <v>4579.639077483611</v>
      </c>
    </row>
    <row r="19" spans="1:47" s="21" customFormat="1" ht="12.75">
      <c r="A19" s="22" t="s">
        <v>20</v>
      </c>
      <c r="B19" s="23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6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6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36"/>
      <c r="AQ19" s="36"/>
      <c r="AR19" s="36"/>
      <c r="AS19" s="36"/>
      <c r="AT19" s="36"/>
      <c r="AU19" s="36"/>
    </row>
    <row r="20" spans="1:47" s="21" customFormat="1" ht="12.75">
      <c r="A20" s="26" t="s">
        <v>6</v>
      </c>
      <c r="B20" s="27"/>
      <c r="C20" s="2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2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27"/>
      <c r="AQ20" s="27"/>
      <c r="AR20" s="27"/>
      <c r="AS20" s="27"/>
      <c r="AT20" s="27"/>
      <c r="AU20" s="27"/>
    </row>
    <row r="21" spans="1:47" s="21" customFormat="1" ht="12.75">
      <c r="A21" s="26" t="s">
        <v>7</v>
      </c>
      <c r="B21" s="27">
        <f>SUM(B22:B23)</f>
        <v>10657.284800000001</v>
      </c>
      <c r="C21" s="27"/>
      <c r="D21" s="27">
        <f aca="true" t="shared" si="9" ref="D21:AB21">SUM(D22:D23)</f>
        <v>0</v>
      </c>
      <c r="E21" s="27">
        <f t="shared" si="9"/>
        <v>0</v>
      </c>
      <c r="F21" s="27">
        <f t="shared" si="9"/>
        <v>0</v>
      </c>
      <c r="G21" s="27">
        <f t="shared" si="9"/>
        <v>0</v>
      </c>
      <c r="H21" s="27">
        <f>SUM(H22:H23)</f>
        <v>0</v>
      </c>
      <c r="I21" s="27">
        <f t="shared" si="9"/>
        <v>0</v>
      </c>
      <c r="J21" s="27">
        <f t="shared" si="9"/>
        <v>0</v>
      </c>
      <c r="K21" s="27">
        <f t="shared" si="9"/>
        <v>0</v>
      </c>
      <c r="L21" s="27">
        <f t="shared" si="9"/>
        <v>0</v>
      </c>
      <c r="M21" s="27">
        <f t="shared" si="9"/>
        <v>9914.1424</v>
      </c>
      <c r="N21" s="27">
        <f t="shared" si="9"/>
        <v>743.1424000000001</v>
      </c>
      <c r="O21" s="27">
        <f t="shared" si="9"/>
        <v>0</v>
      </c>
      <c r="P21" s="27">
        <f t="shared" si="9"/>
        <v>10657.284800000001</v>
      </c>
      <c r="Q21" s="27">
        <f t="shared" si="9"/>
        <v>0</v>
      </c>
      <c r="R21" s="27">
        <f t="shared" si="9"/>
        <v>0</v>
      </c>
      <c r="S21" s="27">
        <f t="shared" si="9"/>
        <v>0</v>
      </c>
      <c r="T21" s="27">
        <f t="shared" si="9"/>
        <v>0</v>
      </c>
      <c r="U21" s="27">
        <f t="shared" si="9"/>
        <v>0</v>
      </c>
      <c r="V21" s="27">
        <f t="shared" si="9"/>
        <v>0</v>
      </c>
      <c r="W21" s="27">
        <f t="shared" si="9"/>
        <v>0</v>
      </c>
      <c r="X21" s="27">
        <f t="shared" si="9"/>
        <v>0</v>
      </c>
      <c r="Y21" s="27">
        <f t="shared" si="9"/>
        <v>0</v>
      </c>
      <c r="Z21" s="27">
        <f t="shared" si="9"/>
        <v>0</v>
      </c>
      <c r="AA21" s="27">
        <f t="shared" si="9"/>
        <v>0</v>
      </c>
      <c r="AB21" s="27">
        <f t="shared" si="9"/>
        <v>0</v>
      </c>
      <c r="AC21" s="27">
        <f>SUM(AC22:AC23)</f>
        <v>0</v>
      </c>
      <c r="AD21" s="27">
        <f aca="true" t="shared" si="10" ref="AD21:AP21">SUM(AD22:AD23)</f>
        <v>0</v>
      </c>
      <c r="AE21" s="27">
        <f t="shared" si="10"/>
        <v>0</v>
      </c>
      <c r="AF21" s="27">
        <f t="shared" si="10"/>
        <v>0</v>
      </c>
      <c r="AG21" s="27">
        <f t="shared" si="10"/>
        <v>0</v>
      </c>
      <c r="AH21" s="27">
        <f t="shared" si="10"/>
        <v>0</v>
      </c>
      <c r="AI21" s="27">
        <f t="shared" si="10"/>
        <v>0</v>
      </c>
      <c r="AJ21" s="27">
        <f t="shared" si="10"/>
        <v>0</v>
      </c>
      <c r="AK21" s="27">
        <f t="shared" si="10"/>
        <v>0</v>
      </c>
      <c r="AL21" s="27">
        <f t="shared" si="10"/>
        <v>0</v>
      </c>
      <c r="AM21" s="27">
        <f t="shared" si="10"/>
        <v>0</v>
      </c>
      <c r="AN21" s="27">
        <f t="shared" si="10"/>
        <v>0</v>
      </c>
      <c r="AO21" s="27">
        <f t="shared" si="10"/>
        <v>0</v>
      </c>
      <c r="AP21" s="27">
        <f t="shared" si="10"/>
        <v>0</v>
      </c>
      <c r="AQ21" s="27">
        <f>SUM(AQ22:AQ23)</f>
        <v>0</v>
      </c>
      <c r="AR21" s="27">
        <f>SUM(AR22:AR23)</f>
        <v>0</v>
      </c>
      <c r="AS21" s="27">
        <f>SUM(AS22:AS23)</f>
        <v>0</v>
      </c>
      <c r="AT21" s="27">
        <f>SUM(AT22:AT23)</f>
        <v>0</v>
      </c>
      <c r="AU21" s="27">
        <f>SUM(AU22:AU23)</f>
        <v>0</v>
      </c>
    </row>
    <row r="22" spans="1:47" ht="12.75">
      <c r="A22" s="38" t="s">
        <v>21</v>
      </c>
      <c r="B22" s="27">
        <f>P22+AC22+AP22+AQ22+AR22+AS22+AT22+AU22</f>
        <v>10657.284800000001</v>
      </c>
      <c r="C22" s="27"/>
      <c r="D22" s="29">
        <f>Инв!E15</f>
        <v>0</v>
      </c>
      <c r="E22" s="29">
        <f>Инв!F15</f>
        <v>0</v>
      </c>
      <c r="F22" s="29">
        <f>Инв!G15</f>
        <v>0</v>
      </c>
      <c r="G22" s="29">
        <f>Инв!H15</f>
        <v>0</v>
      </c>
      <c r="H22" s="29">
        <f>Инв!I15</f>
        <v>0</v>
      </c>
      <c r="I22" s="29">
        <f>Инв!J15</f>
        <v>0</v>
      </c>
      <c r="J22" s="29">
        <f>Инв!K15</f>
        <v>0</v>
      </c>
      <c r="K22" s="29">
        <f>Инв!L15</f>
        <v>0</v>
      </c>
      <c r="L22" s="29">
        <f>Инв!M15</f>
        <v>0</v>
      </c>
      <c r="M22" s="29">
        <f>Инв!N15</f>
        <v>9914.1424</v>
      </c>
      <c r="N22" s="29">
        <f>Инв!O15</f>
        <v>743.1424000000001</v>
      </c>
      <c r="O22" s="29">
        <f>Инв!P15</f>
        <v>0</v>
      </c>
      <c r="P22" s="27">
        <f>SUM(D22:O22)</f>
        <v>10657.284800000001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>
        <f>SUM(Q22:AB22)</f>
        <v>0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>
        <f>SUM(AD22:AO22)</f>
        <v>0</v>
      </c>
      <c r="AQ22" s="27"/>
      <c r="AR22" s="27"/>
      <c r="AS22" s="27"/>
      <c r="AT22" s="27"/>
      <c r="AU22" s="27"/>
    </row>
    <row r="23" spans="1:47" ht="12.75" outlineLevel="1">
      <c r="A23" s="38"/>
      <c r="B23" s="27">
        <f>P23+AC23+AP23+AQ23+AR23+AS23+AT23+AU23</f>
        <v>0</v>
      </c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7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7"/>
      <c r="AQ23" s="27"/>
      <c r="AR23" s="27"/>
      <c r="AS23" s="27"/>
      <c r="AT23" s="27"/>
      <c r="AU23" s="27"/>
    </row>
    <row r="24" spans="1:47" s="21" customFormat="1" ht="25.5">
      <c r="A24" s="39" t="s">
        <v>22</v>
      </c>
      <c r="B24" s="18">
        <f>B20-B21</f>
        <v>-10657.284800000001</v>
      </c>
      <c r="C24" s="18"/>
      <c r="D24" s="18">
        <f>D20-D21</f>
        <v>0</v>
      </c>
      <c r="E24" s="18">
        <f aca="true" t="shared" si="11" ref="E24:AB24">E20-E21</f>
        <v>0</v>
      </c>
      <c r="F24" s="18">
        <f t="shared" si="11"/>
        <v>0</v>
      </c>
      <c r="G24" s="18">
        <f t="shared" si="11"/>
        <v>0</v>
      </c>
      <c r="H24" s="18">
        <f t="shared" si="11"/>
        <v>0</v>
      </c>
      <c r="I24" s="18">
        <f t="shared" si="11"/>
        <v>0</v>
      </c>
      <c r="J24" s="18">
        <f>J20-J21</f>
        <v>0</v>
      </c>
      <c r="K24" s="18">
        <f t="shared" si="11"/>
        <v>0</v>
      </c>
      <c r="L24" s="18">
        <f t="shared" si="11"/>
        <v>0</v>
      </c>
      <c r="M24" s="18">
        <f t="shared" si="11"/>
        <v>-9914.1424</v>
      </c>
      <c r="N24" s="18">
        <f t="shared" si="11"/>
        <v>-743.1424000000001</v>
      </c>
      <c r="O24" s="18">
        <f t="shared" si="11"/>
        <v>0</v>
      </c>
      <c r="P24" s="18">
        <f>SUM(D24:O24)</f>
        <v>-10657.284800000001</v>
      </c>
      <c r="Q24" s="18">
        <f t="shared" si="11"/>
        <v>0</v>
      </c>
      <c r="R24" s="18">
        <f t="shared" si="11"/>
        <v>0</v>
      </c>
      <c r="S24" s="18">
        <f t="shared" si="11"/>
        <v>0</v>
      </c>
      <c r="T24" s="18">
        <f t="shared" si="11"/>
        <v>0</v>
      </c>
      <c r="U24" s="18">
        <f t="shared" si="11"/>
        <v>0</v>
      </c>
      <c r="V24" s="18">
        <f t="shared" si="11"/>
        <v>0</v>
      </c>
      <c r="W24" s="18">
        <f t="shared" si="11"/>
        <v>0</v>
      </c>
      <c r="X24" s="18">
        <f t="shared" si="11"/>
        <v>0</v>
      </c>
      <c r="Y24" s="18">
        <f t="shared" si="11"/>
        <v>0</v>
      </c>
      <c r="Z24" s="18">
        <f t="shared" si="11"/>
        <v>0</v>
      </c>
      <c r="AA24" s="18">
        <f t="shared" si="11"/>
        <v>0</v>
      </c>
      <c r="AB24" s="18">
        <f t="shared" si="11"/>
        <v>0</v>
      </c>
      <c r="AC24" s="18">
        <f>SUM(Q24:AB24)</f>
        <v>0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>
        <f>SUM(AD24:AO24)</f>
        <v>0</v>
      </c>
      <c r="AQ24" s="18"/>
      <c r="AR24" s="18"/>
      <c r="AS24" s="18"/>
      <c r="AT24" s="18"/>
      <c r="AU24" s="18"/>
    </row>
    <row r="25" spans="1:47" s="43" customFormat="1" ht="12.75">
      <c r="A25" s="40" t="s">
        <v>23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2"/>
      <c r="AR25" s="42"/>
      <c r="AS25" s="42"/>
      <c r="AT25" s="42"/>
      <c r="AU25" s="42"/>
    </row>
    <row r="26" spans="1:47" s="21" customFormat="1" ht="12.75">
      <c r="A26" s="22" t="s">
        <v>24</v>
      </c>
      <c r="B26" s="23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6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36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36"/>
      <c r="AQ26" s="36"/>
      <c r="AR26" s="36"/>
      <c r="AS26" s="36"/>
      <c r="AT26" s="36"/>
      <c r="AU26" s="36"/>
    </row>
    <row r="27" spans="1:47" s="21" customFormat="1" ht="12.75">
      <c r="A27" s="26" t="s">
        <v>6</v>
      </c>
      <c r="B27" s="27">
        <f>SUM(B28:B29)</f>
        <v>13043.137216000001</v>
      </c>
      <c r="C27" s="27"/>
      <c r="D27" s="27">
        <f>SUM(D28:D29)</f>
        <v>0</v>
      </c>
      <c r="E27" s="27">
        <f aca="true" t="shared" si="12" ref="E27:O27">SUM(E28:E29)</f>
        <v>0</v>
      </c>
      <c r="F27" s="27">
        <f t="shared" si="12"/>
        <v>0</v>
      </c>
      <c r="G27" s="27">
        <f t="shared" si="12"/>
        <v>0</v>
      </c>
      <c r="H27" s="27">
        <f t="shared" si="12"/>
        <v>0</v>
      </c>
      <c r="I27" s="27">
        <f t="shared" si="12"/>
        <v>0</v>
      </c>
      <c r="J27" s="27">
        <f t="shared" si="12"/>
        <v>0</v>
      </c>
      <c r="K27" s="27">
        <f t="shared" si="12"/>
        <v>0</v>
      </c>
      <c r="L27" s="27">
        <f t="shared" si="12"/>
        <v>0</v>
      </c>
      <c r="M27" s="27">
        <f t="shared" si="12"/>
        <v>9914.1424</v>
      </c>
      <c r="N27" s="27">
        <f t="shared" si="12"/>
        <v>743.1424000000001</v>
      </c>
      <c r="O27" s="27">
        <f t="shared" si="12"/>
        <v>2385.8524159999997</v>
      </c>
      <c r="P27" s="27">
        <f aca="true" t="shared" si="13" ref="P27:AB27">SUM(P28:P29)</f>
        <v>13043.137216000001</v>
      </c>
      <c r="Q27" s="27">
        <f t="shared" si="13"/>
        <v>0</v>
      </c>
      <c r="R27" s="27">
        <f t="shared" si="13"/>
        <v>0</v>
      </c>
      <c r="S27" s="27">
        <f t="shared" si="13"/>
        <v>0</v>
      </c>
      <c r="T27" s="27">
        <f t="shared" si="13"/>
        <v>0</v>
      </c>
      <c r="U27" s="27">
        <f t="shared" si="13"/>
        <v>0</v>
      </c>
      <c r="V27" s="27">
        <f t="shared" si="13"/>
        <v>0</v>
      </c>
      <c r="W27" s="27">
        <f t="shared" si="13"/>
        <v>0</v>
      </c>
      <c r="X27" s="27">
        <f t="shared" si="13"/>
        <v>0</v>
      </c>
      <c r="Y27" s="27">
        <f t="shared" si="13"/>
        <v>0</v>
      </c>
      <c r="Z27" s="27">
        <f t="shared" si="13"/>
        <v>0</v>
      </c>
      <c r="AA27" s="27">
        <f t="shared" si="13"/>
        <v>0</v>
      </c>
      <c r="AB27" s="27">
        <f t="shared" si="13"/>
        <v>0</v>
      </c>
      <c r="AC27" s="27">
        <f>SUM(AC28:AC29)</f>
        <v>0</v>
      </c>
      <c r="AD27" s="27">
        <f aca="true" t="shared" si="14" ref="AD27:AP27">SUM(AD28:AD29)</f>
        <v>0</v>
      </c>
      <c r="AE27" s="27">
        <f t="shared" si="14"/>
        <v>0</v>
      </c>
      <c r="AF27" s="27">
        <f t="shared" si="14"/>
        <v>0</v>
      </c>
      <c r="AG27" s="27">
        <f t="shared" si="14"/>
        <v>0</v>
      </c>
      <c r="AH27" s="27">
        <f t="shared" si="14"/>
        <v>0</v>
      </c>
      <c r="AI27" s="27">
        <f t="shared" si="14"/>
        <v>0</v>
      </c>
      <c r="AJ27" s="27">
        <f t="shared" si="14"/>
        <v>0</v>
      </c>
      <c r="AK27" s="27">
        <f t="shared" si="14"/>
        <v>0</v>
      </c>
      <c r="AL27" s="27">
        <f t="shared" si="14"/>
        <v>0</v>
      </c>
      <c r="AM27" s="27">
        <f t="shared" si="14"/>
        <v>0</v>
      </c>
      <c r="AN27" s="27">
        <f t="shared" si="14"/>
        <v>0</v>
      </c>
      <c r="AO27" s="27">
        <f t="shared" si="14"/>
        <v>0</v>
      </c>
      <c r="AP27" s="27">
        <f t="shared" si="14"/>
        <v>0</v>
      </c>
      <c r="AQ27" s="27">
        <f>SUM(AQ28:AQ29)</f>
        <v>0</v>
      </c>
      <c r="AR27" s="27">
        <f>SUM(AR28:AR29)</f>
        <v>0</v>
      </c>
      <c r="AS27" s="27">
        <f>SUM(AS28:AS29)</f>
        <v>0</v>
      </c>
      <c r="AT27" s="27">
        <f>SUM(AT28:AT29)</f>
        <v>0</v>
      </c>
      <c r="AU27" s="27">
        <f>SUM(AU28:AU29)</f>
        <v>0</v>
      </c>
    </row>
    <row r="28" spans="1:47" ht="12.75" customHeight="1">
      <c r="A28" s="38" t="s">
        <v>56</v>
      </c>
      <c r="B28" s="27">
        <f>P28+AC28+AP28+AQ28+AR28+AS28+AT28+AU28</f>
        <v>2385.8524159999997</v>
      </c>
      <c r="C28" s="2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>
        <f>N13+N14</f>
        <v>0</v>
      </c>
      <c r="O28" s="33">
        <f>O13+O14+990</f>
        <v>2385.8524159999997</v>
      </c>
      <c r="P28" s="27">
        <f>SUM(D28:O28)</f>
        <v>2385.8524159999997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0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7">
        <f>SUM(AD28:AO28)</f>
        <v>0</v>
      </c>
      <c r="AQ28" s="27"/>
      <c r="AR28" s="27"/>
      <c r="AS28" s="27"/>
      <c r="AT28" s="27"/>
      <c r="AU28" s="27"/>
    </row>
    <row r="29" spans="1:47" ht="12.75">
      <c r="A29" s="44" t="s">
        <v>160</v>
      </c>
      <c r="B29" s="27">
        <f>P29+AC29+AP29+AQ29+AR29+AS29+AT29+AU29</f>
        <v>10657.284800000001</v>
      </c>
      <c r="C29" s="27"/>
      <c r="D29" s="29"/>
      <c r="E29" s="29"/>
      <c r="F29" s="29"/>
      <c r="G29" s="29"/>
      <c r="H29" s="29"/>
      <c r="I29" s="29"/>
      <c r="J29" s="29"/>
      <c r="K29" s="29">
        <f>K21</f>
        <v>0</v>
      </c>
      <c r="L29" s="29">
        <f>L21</f>
        <v>0</v>
      </c>
      <c r="M29" s="29">
        <f>M21</f>
        <v>9914.1424</v>
      </c>
      <c r="N29" s="29">
        <f>N21+O21</f>
        <v>743.1424000000001</v>
      </c>
      <c r="O29" s="29"/>
      <c r="P29" s="27">
        <f>SUM(D29:O29)</f>
        <v>10657.284800000001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7">
        <f>SUM(Q29:AB29)</f>
        <v>0</v>
      </c>
      <c r="AD29" s="29"/>
      <c r="AE29" s="29"/>
      <c r="AF29" s="29"/>
      <c r="AG29" s="29"/>
      <c r="AH29" s="29"/>
      <c r="AI29" s="29"/>
      <c r="AJ29" s="45"/>
      <c r="AK29" s="45"/>
      <c r="AL29" s="45"/>
      <c r="AM29" s="45"/>
      <c r="AN29" s="45"/>
      <c r="AO29" s="45"/>
      <c r="AP29" s="27">
        <f>SUM(AD29:AO29)</f>
        <v>0</v>
      </c>
      <c r="AQ29" s="27"/>
      <c r="AR29" s="27"/>
      <c r="AS29" s="27"/>
      <c r="AT29" s="27"/>
      <c r="AU29" s="27"/>
    </row>
    <row r="30" spans="1:47" s="21" customFormat="1" ht="12.75">
      <c r="A30" s="26" t="s">
        <v>7</v>
      </c>
      <c r="B30" s="27">
        <f>SUM(B31:B32)</f>
        <v>11030.289767999955</v>
      </c>
      <c r="C30" s="27"/>
      <c r="D30" s="27">
        <f>SUM(D31:D32)</f>
        <v>0</v>
      </c>
      <c r="E30" s="27">
        <f aca="true" t="shared" si="15" ref="E30:AR30">SUM(E31:E32)</f>
        <v>0</v>
      </c>
      <c r="F30" s="27">
        <f t="shared" si="15"/>
        <v>0</v>
      </c>
      <c r="G30" s="27">
        <f t="shared" si="15"/>
        <v>0</v>
      </c>
      <c r="H30" s="27">
        <f t="shared" si="15"/>
        <v>0</v>
      </c>
      <c r="I30" s="27">
        <f>SUM(I31:I32)</f>
        <v>0</v>
      </c>
      <c r="J30" s="27">
        <f t="shared" si="15"/>
        <v>0</v>
      </c>
      <c r="K30" s="27">
        <f t="shared" si="15"/>
        <v>0</v>
      </c>
      <c r="L30" s="27">
        <f t="shared" si="15"/>
        <v>0</v>
      </c>
      <c r="M30" s="27">
        <f t="shared" si="15"/>
        <v>0</v>
      </c>
      <c r="N30" s="27">
        <f t="shared" si="15"/>
        <v>0</v>
      </c>
      <c r="O30" s="27">
        <f t="shared" si="15"/>
        <v>0</v>
      </c>
      <c r="P30" s="27">
        <f t="shared" si="15"/>
        <v>0</v>
      </c>
      <c r="Q30" s="27">
        <f t="shared" si="15"/>
        <v>0</v>
      </c>
      <c r="R30" s="27">
        <f t="shared" si="15"/>
        <v>0</v>
      </c>
      <c r="S30" s="27">
        <f t="shared" si="15"/>
        <v>0</v>
      </c>
      <c r="T30" s="27">
        <f t="shared" si="15"/>
        <v>0</v>
      </c>
      <c r="U30" s="27">
        <f t="shared" si="15"/>
        <v>0</v>
      </c>
      <c r="V30" s="27">
        <f t="shared" si="15"/>
        <v>0</v>
      </c>
      <c r="W30" s="27">
        <f t="shared" si="15"/>
        <v>0</v>
      </c>
      <c r="X30" s="27">
        <f t="shared" si="15"/>
        <v>109.45456791659927</v>
      </c>
      <c r="Y30" s="27">
        <f t="shared" si="15"/>
        <v>118.29752757588987</v>
      </c>
      <c r="Z30" s="27">
        <f t="shared" si="15"/>
        <v>118.98759648674921</v>
      </c>
      <c r="AA30" s="27">
        <f t="shared" si="15"/>
        <v>119.68169079958858</v>
      </c>
      <c r="AB30" s="27">
        <f t="shared" si="15"/>
        <v>120.3798339959195</v>
      </c>
      <c r="AC30" s="27">
        <f>SUM(AC31:AC32)</f>
        <v>586.8012167747464</v>
      </c>
      <c r="AD30" s="27">
        <f aca="true" t="shared" si="16" ref="AD30:AP30">SUM(AD31:AD32)</f>
        <v>121.08204969422903</v>
      </c>
      <c r="AE30" s="27">
        <f t="shared" si="16"/>
        <v>121.78836165077871</v>
      </c>
      <c r="AF30" s="27">
        <f t="shared" si="16"/>
        <v>122.49879376040825</v>
      </c>
      <c r="AG30" s="27">
        <f t="shared" si="16"/>
        <v>123.21337005734398</v>
      </c>
      <c r="AH30" s="27">
        <f t="shared" si="16"/>
        <v>123.9321147160118</v>
      </c>
      <c r="AI30" s="27">
        <f t="shared" si="16"/>
        <v>124.65505205185522</v>
      </c>
      <c r="AJ30" s="27">
        <f t="shared" si="16"/>
        <v>125.38220652215769</v>
      </c>
      <c r="AK30" s="27">
        <f t="shared" si="16"/>
        <v>126.11360272687027</v>
      </c>
      <c r="AL30" s="27">
        <f t="shared" si="16"/>
        <v>126.84926540944369</v>
      </c>
      <c r="AM30" s="27">
        <f t="shared" si="16"/>
        <v>127.58921945766545</v>
      </c>
      <c r="AN30" s="27">
        <f t="shared" si="16"/>
        <v>128.33348990450185</v>
      </c>
      <c r="AO30" s="27">
        <f t="shared" si="16"/>
        <v>129.08210192894475</v>
      </c>
      <c r="AP30" s="27">
        <f t="shared" si="16"/>
        <v>1500.5196278802107</v>
      </c>
      <c r="AQ30" s="27">
        <f t="shared" si="15"/>
        <v>1608.9923131060393</v>
      </c>
      <c r="AR30" s="27">
        <f t="shared" si="15"/>
        <v>1725.3064975175369</v>
      </c>
      <c r="AS30" s="27">
        <f>SUM(AS31:AS32)</f>
        <v>1850.0290437248684</v>
      </c>
      <c r="AT30" s="27">
        <f>SUM(AT31:AT32)</f>
        <v>1983.7677928821236</v>
      </c>
      <c r="AU30" s="27">
        <f>SUM(AU31:AU32)</f>
        <v>1774.87327611443</v>
      </c>
    </row>
    <row r="31" spans="1:47" ht="12.75">
      <c r="A31" s="28" t="s">
        <v>33</v>
      </c>
      <c r="B31" s="27">
        <f>P31+AC31+AP31+AQ31+AR31+AS31+AT31+AU31</f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27">
        <f>SUM(D31:O31)</f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27">
        <f>SUM(Q31:AB31)</f>
        <v>0</v>
      </c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27">
        <f>SUM(AD31:AO31)</f>
        <v>0</v>
      </c>
      <c r="AQ31" s="27"/>
      <c r="AR31" s="27"/>
      <c r="AS31" s="27"/>
      <c r="AT31" s="27"/>
      <c r="AU31" s="27"/>
    </row>
    <row r="32" spans="1:47" ht="13.5" customHeight="1">
      <c r="A32" s="38" t="s">
        <v>159</v>
      </c>
      <c r="B32" s="27">
        <f>P32+AC32+AP32+AQ32+AR32+AS32+AT32+AU32</f>
        <v>11030.289767999955</v>
      </c>
      <c r="C32" s="27"/>
      <c r="D32" s="34">
        <f>кр!C25</f>
        <v>0</v>
      </c>
      <c r="E32" s="34">
        <f>кр!D25</f>
        <v>0</v>
      </c>
      <c r="F32" s="34">
        <f>кр!E25</f>
        <v>0</v>
      </c>
      <c r="G32" s="34">
        <f>кр!F25</f>
        <v>0</v>
      </c>
      <c r="H32" s="34">
        <f>кр!G25</f>
        <v>0</v>
      </c>
      <c r="I32" s="34">
        <f>кр!H25</f>
        <v>0</v>
      </c>
      <c r="J32" s="34">
        <f>кр!I25</f>
        <v>0</v>
      </c>
      <c r="K32" s="34">
        <f>кр!J25</f>
        <v>0</v>
      </c>
      <c r="L32" s="34">
        <f>кр!K25</f>
        <v>0</v>
      </c>
      <c r="M32" s="34">
        <f>кр!L25</f>
        <v>0</v>
      </c>
      <c r="N32" s="34">
        <f>кр!M25</f>
        <v>0</v>
      </c>
      <c r="O32" s="34">
        <f>кр!N25</f>
        <v>0</v>
      </c>
      <c r="P32" s="27">
        <f>SUM(D32:O32)</f>
        <v>0</v>
      </c>
      <c r="Q32" s="34">
        <f>кр!P25</f>
        <v>0</v>
      </c>
      <c r="R32" s="34">
        <f>кр!Q25</f>
        <v>0</v>
      </c>
      <c r="S32" s="34">
        <f>кр!R25</f>
        <v>0</v>
      </c>
      <c r="T32" s="34">
        <f>кр!S25</f>
        <v>0</v>
      </c>
      <c r="U32" s="34">
        <f>кр!T25</f>
        <v>0</v>
      </c>
      <c r="V32" s="34">
        <f>кр!U25</f>
        <v>0</v>
      </c>
      <c r="W32" s="34">
        <f>кр!V25</f>
        <v>0</v>
      </c>
      <c r="X32" s="34">
        <f>кр!W25</f>
        <v>109.45456791659927</v>
      </c>
      <c r="Y32" s="34">
        <f>кр!X25</f>
        <v>118.29752757588987</v>
      </c>
      <c r="Z32" s="34">
        <f>кр!Y25</f>
        <v>118.98759648674921</v>
      </c>
      <c r="AA32" s="34">
        <f>кр!Z25</f>
        <v>119.68169079958858</v>
      </c>
      <c r="AB32" s="34">
        <f>кр!AA25</f>
        <v>120.3798339959195</v>
      </c>
      <c r="AC32" s="27">
        <f>SUM(Q32:AB32)</f>
        <v>586.8012167747464</v>
      </c>
      <c r="AD32" s="34">
        <f>кр!AC25</f>
        <v>121.08204969422903</v>
      </c>
      <c r="AE32" s="34">
        <f>кр!AD25</f>
        <v>121.78836165077871</v>
      </c>
      <c r="AF32" s="34">
        <f>кр!AE25</f>
        <v>122.49879376040825</v>
      </c>
      <c r="AG32" s="34">
        <f>кр!AF25</f>
        <v>123.21337005734398</v>
      </c>
      <c r="AH32" s="34">
        <f>кр!AG25</f>
        <v>123.9321147160118</v>
      </c>
      <c r="AI32" s="34">
        <f>кр!AH25</f>
        <v>124.65505205185522</v>
      </c>
      <c r="AJ32" s="34">
        <f>кр!AI25</f>
        <v>125.38220652215769</v>
      </c>
      <c r="AK32" s="34">
        <f>кр!AJ25</f>
        <v>126.11360272687027</v>
      </c>
      <c r="AL32" s="34">
        <f>кр!AK25</f>
        <v>126.84926540944369</v>
      </c>
      <c r="AM32" s="34">
        <f>кр!AL25</f>
        <v>127.58921945766545</v>
      </c>
      <c r="AN32" s="34">
        <f>кр!AM25</f>
        <v>128.33348990450185</v>
      </c>
      <c r="AO32" s="34">
        <f>кр!AN25</f>
        <v>129.08210192894475</v>
      </c>
      <c r="AP32" s="27">
        <f>SUM(AD32:AO32)</f>
        <v>1500.5196278802107</v>
      </c>
      <c r="AQ32" s="34">
        <f>кр!BB25</f>
        <v>1608.9923131060393</v>
      </c>
      <c r="AR32" s="34">
        <f>кр!BO25</f>
        <v>1725.3064975175369</v>
      </c>
      <c r="AS32" s="34">
        <f>кр!CB25</f>
        <v>1850.0290437248684</v>
      </c>
      <c r="AT32" s="34">
        <f>кр!CO25</f>
        <v>1983.7677928821236</v>
      </c>
      <c r="AU32" s="34">
        <f>кр!DB25</f>
        <v>1774.87327611443</v>
      </c>
    </row>
    <row r="33" spans="1:47" s="21" customFormat="1" ht="12.75">
      <c r="A33" s="39" t="s">
        <v>25</v>
      </c>
      <c r="B33" s="18">
        <f>B27-B30</f>
        <v>2012.847448000046</v>
      </c>
      <c r="C33" s="18"/>
      <c r="D33" s="18">
        <f>D27-D30</f>
        <v>0</v>
      </c>
      <c r="E33" s="18">
        <f aca="true" t="shared" si="17" ref="E33:AR33">E27-E30</f>
        <v>0</v>
      </c>
      <c r="F33" s="18">
        <f t="shared" si="17"/>
        <v>0</v>
      </c>
      <c r="G33" s="18">
        <f t="shared" si="17"/>
        <v>0</v>
      </c>
      <c r="H33" s="18">
        <f t="shared" si="17"/>
        <v>0</v>
      </c>
      <c r="I33" s="18">
        <f t="shared" si="17"/>
        <v>0</v>
      </c>
      <c r="J33" s="18">
        <f t="shared" si="17"/>
        <v>0</v>
      </c>
      <c r="K33" s="18">
        <f t="shared" si="17"/>
        <v>0</v>
      </c>
      <c r="L33" s="18">
        <f t="shared" si="17"/>
        <v>0</v>
      </c>
      <c r="M33" s="18">
        <f t="shared" si="17"/>
        <v>9914.1424</v>
      </c>
      <c r="N33" s="18">
        <f t="shared" si="17"/>
        <v>743.1424000000001</v>
      </c>
      <c r="O33" s="18">
        <f t="shared" si="17"/>
        <v>2385.8524159999997</v>
      </c>
      <c r="P33" s="18">
        <f t="shared" si="17"/>
        <v>13043.137216000001</v>
      </c>
      <c r="Q33" s="18">
        <f t="shared" si="17"/>
        <v>0</v>
      </c>
      <c r="R33" s="18">
        <f t="shared" si="17"/>
        <v>0</v>
      </c>
      <c r="S33" s="18">
        <f t="shared" si="17"/>
        <v>0</v>
      </c>
      <c r="T33" s="18">
        <f t="shared" si="17"/>
        <v>0</v>
      </c>
      <c r="U33" s="18">
        <f t="shared" si="17"/>
        <v>0</v>
      </c>
      <c r="V33" s="18">
        <f t="shared" si="17"/>
        <v>0</v>
      </c>
      <c r="W33" s="18">
        <f t="shared" si="17"/>
        <v>0</v>
      </c>
      <c r="X33" s="18">
        <f t="shared" si="17"/>
        <v>-109.45456791659927</v>
      </c>
      <c r="Y33" s="18">
        <f t="shared" si="17"/>
        <v>-118.29752757588987</v>
      </c>
      <c r="Z33" s="18">
        <f t="shared" si="17"/>
        <v>-118.98759648674921</v>
      </c>
      <c r="AA33" s="18">
        <f t="shared" si="17"/>
        <v>-119.68169079958858</v>
      </c>
      <c r="AB33" s="18">
        <f t="shared" si="17"/>
        <v>-120.3798339959195</v>
      </c>
      <c r="AC33" s="18">
        <f>AC27-AC30</f>
        <v>-586.8012167747464</v>
      </c>
      <c r="AD33" s="18">
        <f aca="true" t="shared" si="18" ref="AD33:AP33">AD27-AD30</f>
        <v>-121.08204969422903</v>
      </c>
      <c r="AE33" s="18">
        <f t="shared" si="18"/>
        <v>-121.78836165077871</v>
      </c>
      <c r="AF33" s="18">
        <f t="shared" si="18"/>
        <v>-122.49879376040825</v>
      </c>
      <c r="AG33" s="18">
        <f t="shared" si="18"/>
        <v>-123.21337005734398</v>
      </c>
      <c r="AH33" s="18">
        <f t="shared" si="18"/>
        <v>-123.9321147160118</v>
      </c>
      <c r="AI33" s="18">
        <f t="shared" si="18"/>
        <v>-124.65505205185522</v>
      </c>
      <c r="AJ33" s="18">
        <f t="shared" si="18"/>
        <v>-125.38220652215769</v>
      </c>
      <c r="AK33" s="18">
        <f t="shared" si="18"/>
        <v>-126.11360272687027</v>
      </c>
      <c r="AL33" s="18">
        <f t="shared" si="18"/>
        <v>-126.84926540944369</v>
      </c>
      <c r="AM33" s="18">
        <f t="shared" si="18"/>
        <v>-127.58921945766545</v>
      </c>
      <c r="AN33" s="18">
        <f t="shared" si="18"/>
        <v>-128.33348990450185</v>
      </c>
      <c r="AO33" s="18">
        <f t="shared" si="18"/>
        <v>-129.08210192894475</v>
      </c>
      <c r="AP33" s="18">
        <f t="shared" si="18"/>
        <v>-1500.5196278802107</v>
      </c>
      <c r="AQ33" s="18">
        <f t="shared" si="17"/>
        <v>-1608.9923131060393</v>
      </c>
      <c r="AR33" s="18">
        <f t="shared" si="17"/>
        <v>-1725.3064975175369</v>
      </c>
      <c r="AS33" s="18">
        <f>AS27-AS30</f>
        <v>-1850.0290437248684</v>
      </c>
      <c r="AT33" s="18">
        <f>AT27-AT30</f>
        <v>-1983.7677928821236</v>
      </c>
      <c r="AU33" s="18">
        <f>AU27-AU30</f>
        <v>-1774.87327611443</v>
      </c>
    </row>
    <row r="34" spans="1:47" s="48" customFormat="1" ht="12.75">
      <c r="A34" s="46" t="s">
        <v>26</v>
      </c>
      <c r="B34" s="47">
        <f>B18+B24+B33</f>
        <v>20489.426367456465</v>
      </c>
      <c r="C34" s="27"/>
      <c r="D34" s="47">
        <f>D18+D24+D33</f>
        <v>0</v>
      </c>
      <c r="E34" s="47">
        <f aca="true" t="shared" si="19" ref="E34:AR34">E18+E24+E33</f>
        <v>0</v>
      </c>
      <c r="F34" s="47">
        <f t="shared" si="19"/>
        <v>0</v>
      </c>
      <c r="G34" s="47">
        <f t="shared" si="19"/>
        <v>0</v>
      </c>
      <c r="H34" s="47">
        <f t="shared" si="19"/>
        <v>0</v>
      </c>
      <c r="I34" s="47">
        <f t="shared" si="19"/>
        <v>0</v>
      </c>
      <c r="J34" s="47">
        <f t="shared" si="19"/>
        <v>0</v>
      </c>
      <c r="K34" s="47">
        <f t="shared" si="19"/>
        <v>0</v>
      </c>
      <c r="L34" s="47">
        <f t="shared" si="19"/>
        <v>0</v>
      </c>
      <c r="M34" s="47">
        <f t="shared" si="19"/>
        <v>0</v>
      </c>
      <c r="N34" s="47">
        <f t="shared" si="19"/>
        <v>0</v>
      </c>
      <c r="O34" s="47">
        <f t="shared" si="19"/>
        <v>990</v>
      </c>
      <c r="P34" s="47">
        <f t="shared" si="19"/>
        <v>990</v>
      </c>
      <c r="Q34" s="47">
        <f t="shared" si="19"/>
        <v>-637.2688440357142</v>
      </c>
      <c r="R34" s="47">
        <f t="shared" si="19"/>
        <v>53.03115596428597</v>
      </c>
      <c r="S34" s="47">
        <f t="shared" si="19"/>
        <v>398.1811559642856</v>
      </c>
      <c r="T34" s="47">
        <f t="shared" si="19"/>
        <v>398.1811559642856</v>
      </c>
      <c r="U34" s="47">
        <f t="shared" si="19"/>
        <v>953.4306445889524</v>
      </c>
      <c r="V34" s="47">
        <f t="shared" si="19"/>
        <v>381.06245549219057</v>
      </c>
      <c r="W34" s="47">
        <f t="shared" si="19"/>
        <v>-49.422343547809305</v>
      </c>
      <c r="X34" s="47">
        <f t="shared" si="19"/>
        <v>-158.87691146440858</v>
      </c>
      <c r="Y34" s="47">
        <f t="shared" si="19"/>
        <v>714.8737302999117</v>
      </c>
      <c r="Z34" s="47">
        <f t="shared" si="19"/>
        <v>-15.027179939403581</v>
      </c>
      <c r="AA34" s="47">
        <f t="shared" si="19"/>
        <v>-645.2251512591147</v>
      </c>
      <c r="AB34" s="47">
        <f t="shared" si="19"/>
        <v>-1590.4535085840948</v>
      </c>
      <c r="AC34" s="47">
        <f>AC18+AC24+AC33</f>
        <v>-197.5136405566326</v>
      </c>
      <c r="AD34" s="47">
        <f aca="true" t="shared" si="20" ref="AD34:AP34">AD18+AD24+AD33</f>
        <v>-759.4389853808996</v>
      </c>
      <c r="AE34" s="47">
        <f t="shared" si="20"/>
        <v>-33.41037714363836</v>
      </c>
      <c r="AF34" s="47">
        <f t="shared" si="20"/>
        <v>329.5324717487215</v>
      </c>
      <c r="AG34" s="47">
        <f t="shared" si="20"/>
        <v>329.38955648933467</v>
      </c>
      <c r="AH34" s="47">
        <f t="shared" si="20"/>
        <v>937.5971757576016</v>
      </c>
      <c r="AI34" s="47">
        <f t="shared" si="20"/>
        <v>1163.5265357475753</v>
      </c>
      <c r="AJ34" s="47">
        <f t="shared" si="20"/>
        <v>1305.8022115963715</v>
      </c>
      <c r="AK34" s="47">
        <f t="shared" si="20"/>
        <v>1113.377828309715</v>
      </c>
      <c r="AL34" s="47">
        <f t="shared" si="20"/>
        <v>183.88652621891444</v>
      </c>
      <c r="AM34" s="47">
        <f t="shared" si="20"/>
        <v>23.506782037842157</v>
      </c>
      <c r="AN34" s="47">
        <f t="shared" si="20"/>
        <v>-617.5690855372402</v>
      </c>
      <c r="AO34" s="47">
        <f t="shared" si="20"/>
        <v>-1579.1093281706997</v>
      </c>
      <c r="AP34" s="47">
        <f t="shared" si="20"/>
        <v>2397.0913116735974</v>
      </c>
      <c r="AQ34" s="47">
        <f t="shared" si="19"/>
        <v>3786.2745912055716</v>
      </c>
      <c r="AR34" s="47">
        <f t="shared" si="19"/>
        <v>4100.122513525574</v>
      </c>
      <c r="AS34" s="47">
        <f>AS18+AS24+AS33</f>
        <v>3578.589501732212</v>
      </c>
      <c r="AT34" s="47">
        <f>AT18+AT24+AT33</f>
        <v>3030.0962885070016</v>
      </c>
      <c r="AU34" s="47">
        <f>AU18+AU24+AU33</f>
        <v>2804.7658013691807</v>
      </c>
    </row>
    <row r="35" spans="1:55" s="21" customFormat="1" ht="12.75">
      <c r="A35" s="49" t="s">
        <v>55</v>
      </c>
      <c r="B35" s="27">
        <f>B7+B18+B24+B33</f>
        <v>20489.426367456465</v>
      </c>
      <c r="C35" s="50"/>
      <c r="D35" s="51">
        <f aca="true" t="shared" si="21" ref="D35:O35">D7+D18+D24+D33</f>
        <v>0</v>
      </c>
      <c r="E35" s="51">
        <f t="shared" si="21"/>
        <v>0</v>
      </c>
      <c r="F35" s="51">
        <f t="shared" si="21"/>
        <v>0</v>
      </c>
      <c r="G35" s="51">
        <f t="shared" si="21"/>
        <v>0</v>
      </c>
      <c r="H35" s="51">
        <f t="shared" si="21"/>
        <v>0</v>
      </c>
      <c r="I35" s="51">
        <f t="shared" si="21"/>
        <v>0</v>
      </c>
      <c r="J35" s="51">
        <f t="shared" si="21"/>
        <v>0</v>
      </c>
      <c r="K35" s="51">
        <f t="shared" si="21"/>
        <v>0</v>
      </c>
      <c r="L35" s="51">
        <f t="shared" si="21"/>
        <v>0</v>
      </c>
      <c r="M35" s="51">
        <f t="shared" si="21"/>
        <v>0</v>
      </c>
      <c r="N35" s="51">
        <f t="shared" si="21"/>
        <v>0</v>
      </c>
      <c r="O35" s="51">
        <f t="shared" si="21"/>
        <v>990</v>
      </c>
      <c r="P35" s="52">
        <f>O35</f>
        <v>990</v>
      </c>
      <c r="Q35" s="51">
        <f>P35+Q18+Q24+Q33</f>
        <v>352.7311559642858</v>
      </c>
      <c r="R35" s="51">
        <f aca="true" t="shared" si="22" ref="R35:AB35">Q35+R18+R24+R33</f>
        <v>405.76231192857176</v>
      </c>
      <c r="S35" s="51">
        <f t="shared" si="22"/>
        <v>803.9434678928574</v>
      </c>
      <c r="T35" s="51">
        <f t="shared" si="22"/>
        <v>1202.124623857143</v>
      </c>
      <c r="U35" s="51">
        <f t="shared" si="22"/>
        <v>2155.5552684460954</v>
      </c>
      <c r="V35" s="51">
        <f t="shared" si="22"/>
        <v>2536.617723938286</v>
      </c>
      <c r="W35" s="51">
        <f t="shared" si="22"/>
        <v>2487.1953803904767</v>
      </c>
      <c r="X35" s="51">
        <f t="shared" si="22"/>
        <v>2328.318468926068</v>
      </c>
      <c r="Y35" s="51">
        <f t="shared" si="22"/>
        <v>3043.1921992259795</v>
      </c>
      <c r="Z35" s="51">
        <f t="shared" si="22"/>
        <v>3028.165019286576</v>
      </c>
      <c r="AA35" s="51">
        <f t="shared" si="22"/>
        <v>2382.939868027461</v>
      </c>
      <c r="AB35" s="51">
        <f t="shared" si="22"/>
        <v>792.4863594433663</v>
      </c>
      <c r="AC35" s="52">
        <f>AB35</f>
        <v>792.4863594433663</v>
      </c>
      <c r="AD35" s="51">
        <f aca="true" t="shared" si="23" ref="AD35:AO35">AC35+AD18+AD24+AD33</f>
        <v>33.04737406246667</v>
      </c>
      <c r="AE35" s="51">
        <f t="shared" si="23"/>
        <v>-0.36300308117168356</v>
      </c>
      <c r="AF35" s="51">
        <f t="shared" si="23"/>
        <v>329.16946866754984</v>
      </c>
      <c r="AG35" s="51">
        <f t="shared" si="23"/>
        <v>658.5590251568844</v>
      </c>
      <c r="AH35" s="51">
        <f t="shared" si="23"/>
        <v>1596.1562009144861</v>
      </c>
      <c r="AI35" s="51">
        <f t="shared" si="23"/>
        <v>2759.6827366620614</v>
      </c>
      <c r="AJ35" s="51">
        <f t="shared" si="23"/>
        <v>4065.484948258433</v>
      </c>
      <c r="AK35" s="51">
        <f t="shared" si="23"/>
        <v>5178.862776568148</v>
      </c>
      <c r="AL35" s="51">
        <f t="shared" si="23"/>
        <v>5362.749302787062</v>
      </c>
      <c r="AM35" s="51">
        <f t="shared" si="23"/>
        <v>5386.256084824904</v>
      </c>
      <c r="AN35" s="51">
        <f t="shared" si="23"/>
        <v>4768.686999287664</v>
      </c>
      <c r="AO35" s="51">
        <f t="shared" si="23"/>
        <v>3189.577671116964</v>
      </c>
      <c r="AP35" s="52">
        <f>AO35</f>
        <v>3189.577671116964</v>
      </c>
      <c r="AQ35" s="51">
        <f>AP35+AQ18+AQ24+AQ33</f>
        <v>6975.852262322535</v>
      </c>
      <c r="AR35" s="51">
        <f>AQ35+AR18+AR24+AR33</f>
        <v>11075.97477584811</v>
      </c>
      <c r="AS35" s="51">
        <f>AR35+AS18+AS24+AS33</f>
        <v>14654.564277580323</v>
      </c>
      <c r="AT35" s="51">
        <f>AS35+AT18+AT24+AT33</f>
        <v>17684.66056608732</v>
      </c>
      <c r="AU35" s="51">
        <f>AT35+AU18+AU24+AU33</f>
        <v>20489.4263674565</v>
      </c>
      <c r="AV35" s="7">
        <v>2013</v>
      </c>
      <c r="AW35" s="7">
        <f aca="true" t="shared" si="24" ref="AW35:AZ36">AV35+1</f>
        <v>2014</v>
      </c>
      <c r="AX35" s="7">
        <f t="shared" si="24"/>
        <v>2015</v>
      </c>
      <c r="AY35" s="7">
        <f t="shared" si="24"/>
        <v>2016</v>
      </c>
      <c r="AZ35" s="7">
        <f t="shared" si="24"/>
        <v>2017</v>
      </c>
      <c r="BA35" s="7">
        <f aca="true" t="shared" si="25" ref="BA35:BC36">AZ35+1</f>
        <v>2018</v>
      </c>
      <c r="BB35" s="7">
        <f t="shared" si="25"/>
        <v>2019</v>
      </c>
      <c r="BC35" s="7">
        <f t="shared" si="25"/>
        <v>2020</v>
      </c>
    </row>
    <row r="36" spans="1:55" ht="12.75">
      <c r="A36" s="53"/>
      <c r="B36" s="54">
        <f>AU35</f>
        <v>20489.4263674565</v>
      </c>
      <c r="C36" s="55"/>
      <c r="D36" s="56">
        <f aca="true" t="shared" si="26" ref="D36:N36">D7+D34-D35</f>
        <v>0</v>
      </c>
      <c r="E36" s="56">
        <f t="shared" si="26"/>
        <v>0</v>
      </c>
      <c r="F36" s="56">
        <f t="shared" si="26"/>
        <v>0</v>
      </c>
      <c r="G36" s="56">
        <f t="shared" si="26"/>
        <v>0</v>
      </c>
      <c r="H36" s="56">
        <f t="shared" si="26"/>
        <v>0</v>
      </c>
      <c r="I36" s="56">
        <f t="shared" si="26"/>
        <v>0</v>
      </c>
      <c r="J36" s="56">
        <f t="shared" si="26"/>
        <v>0</v>
      </c>
      <c r="K36" s="56">
        <f t="shared" si="26"/>
        <v>0</v>
      </c>
      <c r="L36" s="56">
        <f t="shared" si="26"/>
        <v>0</v>
      </c>
      <c r="M36" s="56">
        <f t="shared" si="26"/>
        <v>0</v>
      </c>
      <c r="N36" s="56">
        <f t="shared" si="26"/>
        <v>0</v>
      </c>
      <c r="O36" s="56"/>
      <c r="P36" s="56"/>
      <c r="Q36" s="56">
        <f>Q7+Q34-Q35</f>
        <v>0</v>
      </c>
      <c r="R36" s="56">
        <f>R7+R34-R35</f>
        <v>0</v>
      </c>
      <c r="S36" s="56"/>
      <c r="T36" s="56">
        <f>T7+T34-T35</f>
        <v>0</v>
      </c>
      <c r="U36" s="56">
        <f>U7+U34-U35</f>
        <v>0</v>
      </c>
      <c r="V36" s="56">
        <f>V7+V34-V35</f>
        <v>0</v>
      </c>
      <c r="W36" s="56"/>
      <c r="X36" s="56">
        <f>X7+X34-X35</f>
        <v>0</v>
      </c>
      <c r="Y36" s="56">
        <f>Y7+Y34-Y35</f>
        <v>0</v>
      </c>
      <c r="Z36" s="56">
        <f>Z7+Z34-Z35</f>
        <v>0</v>
      </c>
      <c r="AA36" s="56">
        <f>AA7+AA34-AA35</f>
        <v>0</v>
      </c>
      <c r="AB36" s="56">
        <f>AB7+AB34-AB35</f>
        <v>0</v>
      </c>
      <c r="AC36" s="56"/>
      <c r="AD36" s="56">
        <f aca="true" t="shared" si="27" ref="AD36:AO36">AD7+AD34-AD35</f>
        <v>0</v>
      </c>
      <c r="AE36" s="56">
        <f t="shared" si="27"/>
        <v>0</v>
      </c>
      <c r="AF36" s="56">
        <f t="shared" si="27"/>
        <v>0</v>
      </c>
      <c r="AG36" s="56">
        <f t="shared" si="27"/>
        <v>0</v>
      </c>
      <c r="AH36" s="56">
        <f t="shared" si="27"/>
        <v>0</v>
      </c>
      <c r="AI36" s="56">
        <f t="shared" si="27"/>
        <v>0</v>
      </c>
      <c r="AJ36" s="56">
        <f t="shared" si="27"/>
        <v>0</v>
      </c>
      <c r="AK36" s="56">
        <f t="shared" si="27"/>
        <v>0</v>
      </c>
      <c r="AL36" s="56">
        <f t="shared" si="27"/>
        <v>0</v>
      </c>
      <c r="AM36" s="56">
        <f t="shared" si="27"/>
        <v>0</v>
      </c>
      <c r="AN36" s="56">
        <f t="shared" si="27"/>
        <v>0</v>
      </c>
      <c r="AO36" s="56">
        <f t="shared" si="27"/>
        <v>0</v>
      </c>
      <c r="AP36" s="56"/>
      <c r="AQ36" s="56">
        <f>AQ7+AQ34-AQ35</f>
        <v>0</v>
      </c>
      <c r="AR36" s="56">
        <f>AR7+AR34-AR35</f>
        <v>0</v>
      </c>
      <c r="AS36" s="56">
        <f>AS7+AS34-AS35</f>
        <v>0</v>
      </c>
      <c r="AT36" s="56">
        <f>AT7+AT34-AT35</f>
        <v>0</v>
      </c>
      <c r="AU36" s="56">
        <f>AU7+AU34-AU35</f>
        <v>0</v>
      </c>
      <c r="AV36" s="63">
        <v>0</v>
      </c>
      <c r="AW36" s="63">
        <f>AV36+1</f>
        <v>1</v>
      </c>
      <c r="AX36" s="63">
        <f t="shared" si="24"/>
        <v>2</v>
      </c>
      <c r="AY36" s="63">
        <f t="shared" si="24"/>
        <v>3</v>
      </c>
      <c r="AZ36" s="63">
        <f t="shared" si="24"/>
        <v>4</v>
      </c>
      <c r="BA36" s="63">
        <f t="shared" si="25"/>
        <v>5</v>
      </c>
      <c r="BB36" s="63">
        <f t="shared" si="25"/>
        <v>6</v>
      </c>
      <c r="BC36" s="63">
        <f t="shared" si="25"/>
        <v>7</v>
      </c>
    </row>
    <row r="37" spans="1:55" ht="12.75">
      <c r="A37" s="53" t="s">
        <v>61</v>
      </c>
      <c r="B37" s="64">
        <f>B35-B36</f>
        <v>-3.637978807091713E-11</v>
      </c>
      <c r="C37" s="55"/>
      <c r="Q37" s="58"/>
      <c r="AD37" s="58"/>
      <c r="AV37" s="58">
        <f>P34</f>
        <v>990</v>
      </c>
      <c r="AW37" s="58">
        <f>AC34</f>
        <v>-197.5136405566326</v>
      </c>
      <c r="AX37" s="58">
        <f aca="true" t="shared" si="28" ref="AX37:BC37">AP34</f>
        <v>2397.0913116735974</v>
      </c>
      <c r="AY37" s="58">
        <f t="shared" si="28"/>
        <v>3786.2745912055716</v>
      </c>
      <c r="AZ37" s="58">
        <f t="shared" si="28"/>
        <v>4100.122513525574</v>
      </c>
      <c r="BA37" s="58">
        <f t="shared" si="28"/>
        <v>3578.589501732212</v>
      </c>
      <c r="BB37" s="58">
        <f t="shared" si="28"/>
        <v>3030.0962885070016</v>
      </c>
      <c r="BC37" s="58">
        <f t="shared" si="28"/>
        <v>2804.7658013691807</v>
      </c>
    </row>
    <row r="38" spans="1:55" ht="12.75">
      <c r="A38" s="53" t="s">
        <v>62</v>
      </c>
      <c r="B38" s="55"/>
      <c r="C38" s="55"/>
      <c r="AV38" s="58">
        <f>AV37+P32+P31+P15</f>
        <v>990</v>
      </c>
      <c r="AW38" s="58">
        <f>AW37+AC32+AC31+AC15</f>
        <v>892.8372313454722</v>
      </c>
      <c r="AX38" s="58">
        <f aca="true" t="shared" si="29" ref="AX38:BC38">AX37+AP32+AP31+AP15</f>
        <v>4581.120106590113</v>
      </c>
      <c r="AY38" s="58">
        <f t="shared" si="29"/>
        <v>5970.303386122088</v>
      </c>
      <c r="AZ38" s="58">
        <f t="shared" si="29"/>
        <v>6284.151308442089</v>
      </c>
      <c r="BA38" s="58">
        <f t="shared" si="29"/>
        <v>5762.618296648729</v>
      </c>
      <c r="BB38" s="58">
        <f t="shared" si="29"/>
        <v>5214.125083423518</v>
      </c>
      <c r="BC38" s="58">
        <f t="shared" si="29"/>
        <v>4637.480994052723</v>
      </c>
    </row>
    <row r="39" spans="1:55" ht="12.75">
      <c r="A39" s="53" t="s">
        <v>63</v>
      </c>
      <c r="B39" s="55"/>
      <c r="C39" s="55"/>
      <c r="V39" s="58"/>
      <c r="AI39" s="58"/>
      <c r="AV39" s="58">
        <f>P27</f>
        <v>13043.137216000001</v>
      </c>
      <c r="AW39" s="58">
        <f>AC27</f>
        <v>0</v>
      </c>
      <c r="AX39" s="58"/>
      <c r="AY39" s="58"/>
      <c r="AZ39" s="58"/>
      <c r="BA39" s="58"/>
      <c r="BB39" s="58"/>
      <c r="BC39" s="58"/>
    </row>
    <row r="40" spans="1:55" ht="12.75">
      <c r="A40" s="65" t="s">
        <v>64</v>
      </c>
      <c r="B40" s="55"/>
      <c r="C40" s="55"/>
      <c r="AV40" s="66">
        <f>AV38-AV39</f>
        <v>-12053.137216000001</v>
      </c>
      <c r="AW40" s="66">
        <f aca="true" t="shared" si="30" ref="AW40:BB40">AW38-AW39</f>
        <v>892.8372313454722</v>
      </c>
      <c r="AX40" s="66">
        <f t="shared" si="30"/>
        <v>4581.120106590113</v>
      </c>
      <c r="AY40" s="66">
        <f t="shared" si="30"/>
        <v>5970.303386122088</v>
      </c>
      <c r="AZ40" s="66">
        <f t="shared" si="30"/>
        <v>6284.151308442089</v>
      </c>
      <c r="BA40" s="66">
        <f t="shared" si="30"/>
        <v>5762.618296648729</v>
      </c>
      <c r="BB40" s="66">
        <f t="shared" si="30"/>
        <v>5214.125083423518</v>
      </c>
      <c r="BC40" s="66">
        <f>BC38-BC39</f>
        <v>4637.480994052723</v>
      </c>
    </row>
    <row r="41" spans="1:55" ht="12.75">
      <c r="A41" s="67" t="s">
        <v>65</v>
      </c>
      <c r="B41" s="55"/>
      <c r="C41" s="55"/>
      <c r="AV41" s="68">
        <f>AV40/(1+Исх!$C$8)^'1-Ф3'!AV36</f>
        <v>-12053.137216000001</v>
      </c>
      <c r="AW41" s="68">
        <f>AW40/(1+Исх!$C$8)^'1-Ф3'!AW36</f>
        <v>824.913446228115</v>
      </c>
      <c r="AX41" s="68">
        <f>AX40/(1+Исх!$C$8)^'1-Ф3'!AX36</f>
        <v>3910.604173949004</v>
      </c>
      <c r="AY41" s="68">
        <f>AY40/(1+Исх!$C$8)^'1-Ф3'!AY36</f>
        <v>4708.739586322773</v>
      </c>
      <c r="AZ41" s="68">
        <f>AZ40/(1+Исх!$C$8)^'1-Ф3'!AZ36</f>
        <v>4579.214592222052</v>
      </c>
      <c r="BA41" s="68">
        <f>BA40/(1+Исх!$C$8)^'1-Ф3'!BA36</f>
        <v>3879.7193168000113</v>
      </c>
      <c r="BB41" s="68">
        <f>BB40/(1+Исх!$C$8)^'1-Ф3'!BB36</f>
        <v>3243.38115798994</v>
      </c>
      <c r="BC41" s="68">
        <f>BC40/(1+Исх!$C$8)^'1-Ф3'!BC36</f>
        <v>2665.230517630073</v>
      </c>
    </row>
    <row r="42" spans="1:55" ht="12.75">
      <c r="A42" s="65" t="s">
        <v>66</v>
      </c>
      <c r="B42" s="55"/>
      <c r="C42" s="55"/>
      <c r="AV42" s="66">
        <f>AV40</f>
        <v>-12053.137216000001</v>
      </c>
      <c r="AW42" s="66">
        <f aca="true" t="shared" si="31" ref="AW42:AZ43">AV42+AW40</f>
        <v>-11160.299984654528</v>
      </c>
      <c r="AX42" s="66">
        <f t="shared" si="31"/>
        <v>-6579.179878064415</v>
      </c>
      <c r="AY42" s="66">
        <f t="shared" si="31"/>
        <v>-608.8764919423265</v>
      </c>
      <c r="AZ42" s="66">
        <f t="shared" si="31"/>
        <v>5675.274816499763</v>
      </c>
      <c r="BA42" s="66">
        <f aca="true" t="shared" si="32" ref="BA42:BC43">AZ42+BA40</f>
        <v>11437.893113148491</v>
      </c>
      <c r="BB42" s="66">
        <f t="shared" si="32"/>
        <v>16652.01819657201</v>
      </c>
      <c r="BC42" s="66">
        <f t="shared" si="32"/>
        <v>21289.499190624734</v>
      </c>
    </row>
    <row r="43" spans="1:55" ht="12.75">
      <c r="A43" s="67" t="s">
        <v>67</v>
      </c>
      <c r="B43" s="55"/>
      <c r="C43" s="55"/>
      <c r="AV43" s="68">
        <f>AV41</f>
        <v>-12053.137216000001</v>
      </c>
      <c r="AW43" s="68">
        <f t="shared" si="31"/>
        <v>-11228.223769771887</v>
      </c>
      <c r="AX43" s="68">
        <f t="shared" si="31"/>
        <v>-7317.619595822883</v>
      </c>
      <c r="AY43" s="68">
        <f t="shared" si="31"/>
        <v>-2608.8800095001097</v>
      </c>
      <c r="AZ43" s="68">
        <f t="shared" si="31"/>
        <v>1970.3345827219418</v>
      </c>
      <c r="BA43" s="68">
        <f t="shared" si="32"/>
        <v>5850.053899521953</v>
      </c>
      <c r="BB43" s="68">
        <f t="shared" si="32"/>
        <v>9093.435057511893</v>
      </c>
      <c r="BC43" s="68">
        <f t="shared" si="32"/>
        <v>11758.665575141966</v>
      </c>
    </row>
    <row r="44" spans="1:55" ht="12.75">
      <c r="A44" s="53" t="s">
        <v>68</v>
      </c>
      <c r="B44" s="55"/>
      <c r="C44" s="55"/>
      <c r="AV44" s="58">
        <f>NPV(Исх!$C$8,'1-Ф3'!$AV38:AV38)</f>
        <v>914.6844274573444</v>
      </c>
      <c r="AW44" s="58">
        <f>NPV(Исх!$C$8,'1-Ф3'!$AV38:AW38)</f>
        <v>1676.8414812604033</v>
      </c>
      <c r="AX44" s="58">
        <f>NPV(Исх!$C$8,'1-Ф3'!$AV38:AX38)</f>
        <v>5289.941218493582</v>
      </c>
      <c r="AY44" s="58">
        <f>NPV(Исх!$C$8,'1-Ф3'!$AV38:AY38)</f>
        <v>9640.457150373762</v>
      </c>
      <c r="AZ44" s="58">
        <f>NPV(Исх!$C$8,'1-Ф3'!$AV38:AZ38)</f>
        <v>13871.30187511209</v>
      </c>
      <c r="BA44" s="58">
        <f>NPV(Исх!$C$8,'1-Ф3'!$AV38:BA38)</f>
        <v>17455.86636196302</v>
      </c>
      <c r="BB44" s="58">
        <f>NPV(Исх!$C$8,'1-Ф3'!$AV38:BB38)</f>
        <v>20452.50296552056</v>
      </c>
      <c r="BC44" s="58">
        <f>NPV(Исх!$C$8,'1-Ф3'!$AV38:BC38)</f>
        <v>22914.972511036023</v>
      </c>
    </row>
    <row r="45" spans="1:55" ht="12.75">
      <c r="A45" s="53" t="s">
        <v>69</v>
      </c>
      <c r="B45" s="55"/>
      <c r="C45" s="55"/>
      <c r="AV45" s="58">
        <f>NPV(Исх!$C$8,'1-Ф3'!$AV39:AV39)</f>
        <v>12050.863127943983</v>
      </c>
      <c r="AW45" s="58">
        <f>NPV(Исх!$C$8,'1-Ф3'!$AV39:AW39)</f>
        <v>12050.863127943983</v>
      </c>
      <c r="AX45" s="58">
        <f>NPV(Исх!$C$8,'1-Ф3'!$AV39:AX39)</f>
        <v>12050.863127943983</v>
      </c>
      <c r="AY45" s="58">
        <f>NPV(Исх!$C$8,'1-Ф3'!$AV39:AY39)</f>
        <v>12050.863127943983</v>
      </c>
      <c r="AZ45" s="58">
        <f>NPV(Исх!$C$8,'1-Ф3'!$AV39:AZ39)</f>
        <v>12050.863127943983</v>
      </c>
      <c r="BA45" s="58">
        <f>NPV(Исх!$C$8,'1-Ф3'!$AV39:BA39)</f>
        <v>12050.863127943983</v>
      </c>
      <c r="BB45" s="58">
        <f>NPV(Исх!$C$8,'1-Ф3'!$AV39:BB39)</f>
        <v>12050.863127943983</v>
      </c>
      <c r="BC45" s="58">
        <f>NPV(Исх!$C$8,'1-Ф3'!$AV39:BC39)</f>
        <v>12050.863127943983</v>
      </c>
    </row>
    <row r="46" spans="1:55" ht="12.75">
      <c r="A46" s="53" t="s">
        <v>70</v>
      </c>
      <c r="B46" s="55"/>
      <c r="C46" s="55"/>
      <c r="AV46" s="58">
        <f aca="true" t="shared" si="33" ref="AV46:BB46">AV44-AV45</f>
        <v>-11136.178700486638</v>
      </c>
      <c r="AW46" s="58">
        <f t="shared" si="33"/>
        <v>-10374.021646683581</v>
      </c>
      <c r="AX46" s="58">
        <f t="shared" si="33"/>
        <v>-6760.9219094504015</v>
      </c>
      <c r="AY46" s="58">
        <f t="shared" si="33"/>
        <v>-2410.405977570221</v>
      </c>
      <c r="AZ46" s="58">
        <f t="shared" si="33"/>
        <v>1820.4387471681075</v>
      </c>
      <c r="BA46" s="58">
        <f t="shared" si="33"/>
        <v>5405.003234019037</v>
      </c>
      <c r="BB46" s="58">
        <f t="shared" si="33"/>
        <v>8401.639837576578</v>
      </c>
      <c r="BC46" s="58">
        <f>BC44-BC45</f>
        <v>10864.10938309204</v>
      </c>
    </row>
    <row r="47" spans="1:55" ht="12.75">
      <c r="A47" s="53" t="s">
        <v>71</v>
      </c>
      <c r="B47" s="55"/>
      <c r="C47" s="55"/>
      <c r="AV47" s="69">
        <f aca="true" t="shared" si="34" ref="AV47:BB47">AV44/AV45</f>
        <v>0.07590198459198666</v>
      </c>
      <c r="AW47" s="69">
        <f t="shared" si="34"/>
        <v>0.13914700245595535</v>
      </c>
      <c r="AX47" s="69">
        <f t="shared" si="34"/>
        <v>0.43896782847255744</v>
      </c>
      <c r="AY47" s="69">
        <f t="shared" si="34"/>
        <v>0.7999806360773543</v>
      </c>
      <c r="AZ47" s="69">
        <f t="shared" si="34"/>
        <v>1.151062934483656</v>
      </c>
      <c r="BA47" s="69">
        <f t="shared" si="34"/>
        <v>1.4485158595391991</v>
      </c>
      <c r="BB47" s="69">
        <f t="shared" si="34"/>
        <v>1.6971815834580801</v>
      </c>
      <c r="BC47" s="69">
        <f>BC44/BC45</f>
        <v>1.901521265966414</v>
      </c>
    </row>
    <row r="48" spans="1:55" ht="12.75">
      <c r="A48" s="53" t="s">
        <v>72</v>
      </c>
      <c r="B48" s="55"/>
      <c r="C48" s="55"/>
      <c r="AS48" s="70"/>
      <c r="AT48" s="70"/>
      <c r="AU48" s="70"/>
      <c r="AV48" s="70" t="str">
        <f>IF(ISERROR(IRR($AV40:AV$40))," ",IF(IRR($AV40:AV$40)&lt;0," ",IRR($AV40:AV$40)))</f>
        <v> </v>
      </c>
      <c r="AW48" s="70" t="str">
        <f>IF(ISERROR(IRR($AV40:AW$40))," ",IF(IRR($AV40:AW$40)&lt;0," ",IRR($AV40:AW$40)))</f>
        <v> </v>
      </c>
      <c r="AX48" s="70" t="str">
        <f>IF(ISERROR(IRR($AV40:AX$40))," ",IF(IRR($AV40:AX$40)&lt;0," ",IRR($AV40:AX$40)))</f>
        <v> </v>
      </c>
      <c r="AY48" s="70" t="str">
        <f>IF(ISERROR(IRR($AV40:AY$40))," ",IF(IRR($AV40:AY$40)&lt;0," ",IRR($AV40:AY$40)))</f>
        <v> </v>
      </c>
      <c r="AZ48" s="70">
        <f>IF(ISERROR(IRR($AV40:AZ$40))," ",IF(IRR($AV40:AZ$40)&lt;0," ",IRR($AV40:AZ$40)))</f>
        <v>0.14018293316894614</v>
      </c>
      <c r="BA48" s="70">
        <f>IF(ISERROR(IRR($AV40:BA$40))," ",IF(IRR($AV40:BA$40)&lt;0," ",IRR($AV40:BA$40)))</f>
        <v>0.22041868420418442</v>
      </c>
      <c r="BB48" s="70">
        <f>IF(ISERROR(IRR($AV40:BB$40))," ",IF(IRR($AV40:BB$40)&lt;0," ",IRR($AV40:BB$40)))</f>
        <v>0.26409793303218376</v>
      </c>
      <c r="BC48" s="70">
        <f>IF(ISERROR(IRR($AV40:BC$40))," ",IF(IRR($AV40:BC$40)&lt;0," ",IRR($AV40:BC$40)))</f>
        <v>0.2890346772137886</v>
      </c>
    </row>
    <row r="49" spans="1:3" ht="12.75">
      <c r="A49" s="71" t="s">
        <v>35</v>
      </c>
      <c r="B49" s="59">
        <f>AY36-AY42/AZ40</f>
        <v>3.096890807056852</v>
      </c>
      <c r="C49" s="55"/>
    </row>
    <row r="50" spans="1:3" ht="12.75">
      <c r="A50" s="71" t="s">
        <v>29</v>
      </c>
      <c r="B50" s="59">
        <f>AY36-AY43/AZ41</f>
        <v>3.569722155832439</v>
      </c>
      <c r="C50" s="55"/>
    </row>
    <row r="51" spans="1:3" ht="12.75">
      <c r="A51" s="53"/>
      <c r="B51" s="59"/>
      <c r="C51" s="55"/>
    </row>
    <row r="52" spans="1:3" ht="12.75">
      <c r="A52" s="53"/>
      <c r="B52" s="55"/>
      <c r="C52" s="55"/>
    </row>
    <row r="53" spans="1:3" ht="12.75">
      <c r="A53" s="53"/>
      <c r="B53" s="55"/>
      <c r="C53" s="55"/>
    </row>
    <row r="54" spans="1:3" ht="12.75">
      <c r="A54" s="53"/>
      <c r="B54" s="55"/>
      <c r="C54" s="55"/>
    </row>
    <row r="55" spans="1:3" ht="12.75">
      <c r="A55" s="53"/>
      <c r="B55" s="55"/>
      <c r="C55" s="55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5"/>
    </row>
    <row r="60" spans="1:3" ht="12.75">
      <c r="A60" s="53"/>
      <c r="B60" s="55"/>
      <c r="C60" s="55"/>
    </row>
    <row r="61" spans="1:3" ht="12.75">
      <c r="A61" s="53"/>
      <c r="B61" s="55"/>
      <c r="C61" s="55"/>
    </row>
    <row r="62" spans="1:3" ht="12.75">
      <c r="A62" s="53"/>
      <c r="B62" s="55"/>
      <c r="C62" s="55"/>
    </row>
    <row r="63" spans="1:44" ht="12.75">
      <c r="A63" s="53"/>
      <c r="B63" s="55"/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 s="53"/>
      <c r="B64" s="55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>
      <c r="A65" s="53"/>
      <c r="B65" s="55"/>
      <c r="C65" s="5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53"/>
      <c r="B66" s="55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53"/>
      <c r="B67" s="55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53"/>
      <c r="B68" s="55"/>
      <c r="C68" s="5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53"/>
      <c r="B69" s="55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53"/>
      <c r="B70" s="55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53"/>
      <c r="B71" s="55"/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53"/>
      <c r="B72" s="55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53"/>
      <c r="B73" s="55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53"/>
      <c r="B74" s="55"/>
      <c r="C74" s="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53"/>
      <c r="B75" s="55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53"/>
      <c r="B76" s="55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 s="53"/>
      <c r="B77" s="55"/>
      <c r="C77" s="5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 s="53"/>
      <c r="B78" s="55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 s="53"/>
      <c r="B79" s="55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 s="53"/>
      <c r="B80" s="55"/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 s="53"/>
      <c r="B81" s="55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 s="53"/>
      <c r="B82" s="55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 s="53"/>
      <c r="B83" s="55"/>
      <c r="C83" s="5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 s="53"/>
      <c r="B84" s="55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 s="53"/>
      <c r="B85" s="55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 s="53"/>
      <c r="B86" s="55"/>
      <c r="C86" s="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 s="53"/>
      <c r="B87" s="55"/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 s="53"/>
      <c r="B88" s="55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53"/>
      <c r="B89" s="55"/>
      <c r="C89" s="5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53"/>
      <c r="B90" s="55"/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53"/>
      <c r="B91" s="55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53"/>
      <c r="B92" s="55"/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53"/>
      <c r="B93" s="55"/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53"/>
      <c r="B94" s="55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2.75">
      <c r="A95" s="53"/>
      <c r="B95" s="55"/>
      <c r="C95" s="5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2.75">
      <c r="A96" s="53"/>
      <c r="B96" s="55"/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 s="53"/>
      <c r="B97" s="55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 s="53"/>
      <c r="B98" s="55"/>
      <c r="C98" s="5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 s="53"/>
      <c r="B99" s="55"/>
      <c r="C99" s="5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2.75">
      <c r="A100" s="53"/>
      <c r="B100" s="55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2.75">
      <c r="A101" s="53"/>
      <c r="B101" s="55"/>
      <c r="C101" s="5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2.75">
      <c r="A102" s="53"/>
      <c r="B102" s="55"/>
      <c r="C102" s="5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53"/>
      <c r="B103" s="55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53"/>
      <c r="B104" s="55"/>
      <c r="C104" s="5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53"/>
      <c r="B105" s="55"/>
      <c r="C105" s="5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53"/>
      <c r="B106" s="55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53"/>
      <c r="B107" s="55"/>
      <c r="C107" s="5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53"/>
      <c r="B108" s="55"/>
      <c r="C108" s="5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53"/>
      <c r="B109" s="55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53"/>
      <c r="B110" s="55"/>
      <c r="C110" s="5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53"/>
      <c r="B111" s="55"/>
      <c r="C111" s="5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53"/>
      <c r="B112" s="55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53"/>
      <c r="B113" s="55"/>
      <c r="C113" s="5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53"/>
      <c r="B114" s="55"/>
      <c r="C114" s="5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53"/>
      <c r="B115" s="55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53"/>
      <c r="B116" s="55"/>
      <c r="C116" s="5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53"/>
      <c r="B117" s="55"/>
      <c r="C117" s="5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53"/>
      <c r="B118" s="55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53"/>
      <c r="B119" s="55"/>
      <c r="C119" s="5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53"/>
      <c r="B120" s="55"/>
      <c r="C120" s="5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53"/>
      <c r="B121" s="55"/>
      <c r="C121" s="5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53"/>
      <c r="B122" s="55"/>
      <c r="C122" s="5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53"/>
      <c r="B123" s="55"/>
      <c r="C123" s="5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53"/>
      <c r="B124" s="55"/>
      <c r="C124" s="5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53"/>
      <c r="B125" s="55"/>
      <c r="C125" s="5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53"/>
      <c r="B126" s="55"/>
      <c r="C126" s="5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53"/>
      <c r="B127" s="55"/>
      <c r="C127" s="5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53"/>
      <c r="B128" s="55"/>
      <c r="C128" s="5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53"/>
      <c r="B129" s="55"/>
      <c r="C129" s="5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53"/>
      <c r="B130" s="55"/>
      <c r="C130" s="5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53"/>
      <c r="B131" s="55"/>
      <c r="C131" s="5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53"/>
      <c r="B132" s="55"/>
      <c r="C132" s="5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53"/>
      <c r="B133" s="55"/>
      <c r="C133" s="5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53"/>
      <c r="B134" s="55"/>
      <c r="C134" s="5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53"/>
      <c r="B135" s="55"/>
      <c r="C135" s="5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53"/>
      <c r="B136" s="55"/>
      <c r="C136" s="5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53"/>
      <c r="B137" s="55"/>
      <c r="C137" s="5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53"/>
      <c r="B138" s="55"/>
      <c r="C138" s="5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53"/>
      <c r="B139" s="55"/>
      <c r="C139" s="5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53"/>
      <c r="B140" s="55"/>
      <c r="C140" s="5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53"/>
      <c r="B141" s="55"/>
      <c r="C141" s="5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12.75">
      <c r="A142" s="53"/>
      <c r="B142" s="55"/>
      <c r="C142" s="5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</sheetData>
  <sheetProtection/>
  <mergeCells count="5">
    <mergeCell ref="A5:A6"/>
    <mergeCell ref="B5:B6"/>
    <mergeCell ref="D5:P5"/>
    <mergeCell ref="Q5:AC5"/>
    <mergeCell ref="AD5:AP5"/>
  </mergeCells>
  <printOptions/>
  <pageMargins left="0.4330708661417323" right="0.2755905511811024" top="0.7086614173228347" bottom="0.35433070866141736" header="0.4330708661417323" footer="0.2362204724409449"/>
  <pageSetup horizontalDpi="600" verticalDpi="600" orientation="landscape" paperSize="9" r:id="rId3"/>
  <headerFooter alignWithMargins="0">
    <oddHeader>&amp;RПриложение 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P97"/>
  <sheetViews>
    <sheetView showGridLines="0" zoomScalePageLayoutView="0" workbookViewId="0" topLeftCell="A1">
      <pane xSplit="2" ySplit="6" topLeftCell="I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T88" sqref="T88"/>
    </sheetView>
  </sheetViews>
  <sheetFormatPr defaultColWidth="9.00390625" defaultRowHeight="12.75" outlineLevelRow="1" outlineLevelCol="1"/>
  <cols>
    <col min="1" max="1" width="23.25390625" style="177" customWidth="1"/>
    <col min="2" max="2" width="12.125" style="177" customWidth="1"/>
    <col min="3" max="14" width="9.125" style="177" hidden="1" customWidth="1" outlineLevel="1"/>
    <col min="15" max="15" width="10.125" style="178" bestFit="1" customWidth="1" collapsed="1"/>
    <col min="16" max="19" width="9.125" style="177" hidden="1" customWidth="1" outlineLevel="1"/>
    <col min="20" max="21" width="9.75390625" style="177" hidden="1" customWidth="1" outlineLevel="1"/>
    <col min="22" max="22" width="9.625" style="177" hidden="1" customWidth="1" outlineLevel="1"/>
    <col min="23" max="27" width="9.75390625" style="177" hidden="1" customWidth="1" outlineLevel="1"/>
    <col min="28" max="28" width="10.125" style="178" bestFit="1" customWidth="1" collapsed="1"/>
    <col min="29" max="40" width="9.75390625" style="177" hidden="1" customWidth="1" outlineLevel="1"/>
    <col min="41" max="41" width="10.125" style="178" bestFit="1" customWidth="1" collapsed="1"/>
    <col min="42" max="53" width="9.75390625" style="177" hidden="1" customWidth="1" outlineLevel="1"/>
    <col min="54" max="54" width="9.75390625" style="178" bestFit="1" customWidth="1" collapsed="1"/>
    <col min="55" max="66" width="9.75390625" style="177" hidden="1" customWidth="1" outlineLevel="1"/>
    <col min="67" max="67" width="10.125" style="178" bestFit="1" customWidth="1" collapsed="1"/>
    <col min="68" max="79" width="9.75390625" style="177" hidden="1" customWidth="1" outlineLevel="1"/>
    <col min="80" max="80" width="10.125" style="178" bestFit="1" customWidth="1" collapsed="1"/>
    <col min="81" max="92" width="9.75390625" style="177" hidden="1" customWidth="1" outlineLevel="1"/>
    <col min="93" max="93" width="10.125" style="178" bestFit="1" customWidth="1" collapsed="1"/>
    <col min="94" max="98" width="9.75390625" style="177" hidden="1" customWidth="1" outlineLevel="1"/>
    <col min="99" max="105" width="8.75390625" style="177" hidden="1" customWidth="1" outlineLevel="1"/>
    <col min="106" max="106" width="10.125" style="178" bestFit="1" customWidth="1" collapsed="1"/>
    <col min="107" max="118" width="8.75390625" style="177" hidden="1" customWidth="1" outlineLevel="1"/>
    <col min="119" max="119" width="10.125" style="178" hidden="1" customWidth="1" collapsed="1"/>
    <col min="120" max="120" width="9.75390625" style="177" bestFit="1" customWidth="1"/>
    <col min="121" max="16384" width="9.125" style="177" customWidth="1"/>
  </cols>
  <sheetData>
    <row r="1" ht="9.75" customHeight="1"/>
    <row r="2" spans="1:15" ht="18.75" customHeight="1">
      <c r="A2" s="178" t="s">
        <v>99</v>
      </c>
      <c r="B2" s="179"/>
      <c r="D2" s="180"/>
      <c r="E2" s="180"/>
      <c r="F2" s="181"/>
      <c r="G2" s="180"/>
      <c r="O2" s="182"/>
    </row>
    <row r="3" spans="1:15" ht="13.5" customHeight="1">
      <c r="A3" s="183"/>
      <c r="B3" s="179"/>
      <c r="D3" s="180"/>
      <c r="E3" s="180"/>
      <c r="F3" s="181"/>
      <c r="G3" s="180"/>
      <c r="O3" s="182"/>
    </row>
    <row r="4" spans="1:2" ht="12.75" hidden="1">
      <c r="A4" s="184" t="s">
        <v>251</v>
      </c>
      <c r="B4" s="185"/>
    </row>
    <row r="5" spans="1:119" ht="15.75" customHeight="1" hidden="1">
      <c r="A5" s="186" t="s">
        <v>11</v>
      </c>
      <c r="B5" s="187">
        <f>Исх!C41</f>
        <v>0.07</v>
      </c>
      <c r="C5" s="371">
        <v>2012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>
        <v>2013</v>
      </c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>
        <v>2014</v>
      </c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>
        <v>2015</v>
      </c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>
        <v>2016</v>
      </c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>
        <v>2017</v>
      </c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>
        <v>2018</v>
      </c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>
        <v>2019</v>
      </c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>
        <v>2020</v>
      </c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</row>
    <row r="6" spans="1:119" s="192" customFormat="1" ht="15" customHeight="1" hidden="1">
      <c r="A6" s="188" t="s">
        <v>9</v>
      </c>
      <c r="B6" s="189" t="s">
        <v>12</v>
      </c>
      <c r="C6" s="190">
        <v>1</v>
      </c>
      <c r="D6" s="190">
        <v>2</v>
      </c>
      <c r="E6" s="190">
        <f>D6+1</f>
        <v>3</v>
      </c>
      <c r="F6" s="190">
        <f aca="true" t="shared" si="0" ref="F6:N6">E6+1</f>
        <v>4</v>
      </c>
      <c r="G6" s="190">
        <f t="shared" si="0"/>
        <v>5</v>
      </c>
      <c r="H6" s="190">
        <f t="shared" si="0"/>
        <v>6</v>
      </c>
      <c r="I6" s="190">
        <f t="shared" si="0"/>
        <v>7</v>
      </c>
      <c r="J6" s="190">
        <f t="shared" si="0"/>
        <v>8</v>
      </c>
      <c r="K6" s="190">
        <f t="shared" si="0"/>
        <v>9</v>
      </c>
      <c r="L6" s="190">
        <f t="shared" si="0"/>
        <v>10</v>
      </c>
      <c r="M6" s="190">
        <f t="shared" si="0"/>
        <v>11</v>
      </c>
      <c r="N6" s="190">
        <f t="shared" si="0"/>
        <v>12</v>
      </c>
      <c r="O6" s="191" t="s">
        <v>0</v>
      </c>
      <c r="P6" s="190">
        <v>1</v>
      </c>
      <c r="Q6" s="190">
        <v>2</v>
      </c>
      <c r="R6" s="190">
        <f>Q6+1</f>
        <v>3</v>
      </c>
      <c r="S6" s="190">
        <f aca="true" t="shared" si="1" ref="S6:AA6">R6+1</f>
        <v>4</v>
      </c>
      <c r="T6" s="190">
        <f t="shared" si="1"/>
        <v>5</v>
      </c>
      <c r="U6" s="190">
        <f t="shared" si="1"/>
        <v>6</v>
      </c>
      <c r="V6" s="190">
        <f t="shared" si="1"/>
        <v>7</v>
      </c>
      <c r="W6" s="190">
        <f t="shared" si="1"/>
        <v>8</v>
      </c>
      <c r="X6" s="190">
        <f t="shared" si="1"/>
        <v>9</v>
      </c>
      <c r="Y6" s="190">
        <f t="shared" si="1"/>
        <v>10</v>
      </c>
      <c r="Z6" s="190">
        <f t="shared" si="1"/>
        <v>11</v>
      </c>
      <c r="AA6" s="190">
        <f t="shared" si="1"/>
        <v>12</v>
      </c>
      <c r="AB6" s="191" t="s">
        <v>0</v>
      </c>
      <c r="AC6" s="190">
        <v>1</v>
      </c>
      <c r="AD6" s="190">
        <v>2</v>
      </c>
      <c r="AE6" s="190">
        <f aca="true" t="shared" si="2" ref="AE6:BN6">AD6+1</f>
        <v>3</v>
      </c>
      <c r="AF6" s="190">
        <f t="shared" si="2"/>
        <v>4</v>
      </c>
      <c r="AG6" s="190">
        <f t="shared" si="2"/>
        <v>5</v>
      </c>
      <c r="AH6" s="190">
        <f t="shared" si="2"/>
        <v>6</v>
      </c>
      <c r="AI6" s="190">
        <f t="shared" si="2"/>
        <v>7</v>
      </c>
      <c r="AJ6" s="190">
        <f t="shared" si="2"/>
        <v>8</v>
      </c>
      <c r="AK6" s="190">
        <f t="shared" si="2"/>
        <v>9</v>
      </c>
      <c r="AL6" s="190">
        <f t="shared" si="2"/>
        <v>10</v>
      </c>
      <c r="AM6" s="190">
        <f t="shared" si="2"/>
        <v>11</v>
      </c>
      <c r="AN6" s="190">
        <f t="shared" si="2"/>
        <v>12</v>
      </c>
      <c r="AO6" s="191" t="s">
        <v>0</v>
      </c>
      <c r="AP6" s="190">
        <v>1</v>
      </c>
      <c r="AQ6" s="190">
        <v>2</v>
      </c>
      <c r="AR6" s="190">
        <f>AQ6+1</f>
        <v>3</v>
      </c>
      <c r="AS6" s="190">
        <f t="shared" si="2"/>
        <v>4</v>
      </c>
      <c r="AT6" s="190">
        <f t="shared" si="2"/>
        <v>5</v>
      </c>
      <c r="AU6" s="190">
        <f t="shared" si="2"/>
        <v>6</v>
      </c>
      <c r="AV6" s="190">
        <f t="shared" si="2"/>
        <v>7</v>
      </c>
      <c r="AW6" s="190">
        <f t="shared" si="2"/>
        <v>8</v>
      </c>
      <c r="AX6" s="190">
        <f t="shared" si="2"/>
        <v>9</v>
      </c>
      <c r="AY6" s="190">
        <f t="shared" si="2"/>
        <v>10</v>
      </c>
      <c r="AZ6" s="190">
        <f t="shared" si="2"/>
        <v>11</v>
      </c>
      <c r="BA6" s="190">
        <f t="shared" si="2"/>
        <v>12</v>
      </c>
      <c r="BB6" s="191" t="s">
        <v>0</v>
      </c>
      <c r="BC6" s="190">
        <v>1</v>
      </c>
      <c r="BD6" s="190">
        <v>2</v>
      </c>
      <c r="BE6" s="190">
        <f>BD6+1</f>
        <v>3</v>
      </c>
      <c r="BF6" s="190">
        <f t="shared" si="2"/>
        <v>4</v>
      </c>
      <c r="BG6" s="190">
        <f t="shared" si="2"/>
        <v>5</v>
      </c>
      <c r="BH6" s="190">
        <f t="shared" si="2"/>
        <v>6</v>
      </c>
      <c r="BI6" s="190">
        <f t="shared" si="2"/>
        <v>7</v>
      </c>
      <c r="BJ6" s="190">
        <f t="shared" si="2"/>
        <v>8</v>
      </c>
      <c r="BK6" s="190">
        <f t="shared" si="2"/>
        <v>9</v>
      </c>
      <c r="BL6" s="190">
        <f t="shared" si="2"/>
        <v>10</v>
      </c>
      <c r="BM6" s="190">
        <f t="shared" si="2"/>
        <v>11</v>
      </c>
      <c r="BN6" s="190">
        <f t="shared" si="2"/>
        <v>12</v>
      </c>
      <c r="BO6" s="191" t="s">
        <v>0</v>
      </c>
      <c r="BP6" s="190">
        <v>1</v>
      </c>
      <c r="BQ6" s="190">
        <v>2</v>
      </c>
      <c r="BR6" s="190">
        <f aca="true" t="shared" si="3" ref="BR6:CA6">BQ6+1</f>
        <v>3</v>
      </c>
      <c r="BS6" s="190">
        <f t="shared" si="3"/>
        <v>4</v>
      </c>
      <c r="BT6" s="190">
        <f t="shared" si="3"/>
        <v>5</v>
      </c>
      <c r="BU6" s="190">
        <f t="shared" si="3"/>
        <v>6</v>
      </c>
      <c r="BV6" s="190">
        <f t="shared" si="3"/>
        <v>7</v>
      </c>
      <c r="BW6" s="190">
        <f t="shared" si="3"/>
        <v>8</v>
      </c>
      <c r="BX6" s="190">
        <f t="shared" si="3"/>
        <v>9</v>
      </c>
      <c r="BY6" s="190">
        <f t="shared" si="3"/>
        <v>10</v>
      </c>
      <c r="BZ6" s="190">
        <f t="shared" si="3"/>
        <v>11</v>
      </c>
      <c r="CA6" s="190">
        <f t="shared" si="3"/>
        <v>12</v>
      </c>
      <c r="CB6" s="191" t="s">
        <v>0</v>
      </c>
      <c r="CC6" s="190">
        <v>1</v>
      </c>
      <c r="CD6" s="190">
        <v>2</v>
      </c>
      <c r="CE6" s="190">
        <f aca="true" t="shared" si="4" ref="CE6:CN6">CD6+1</f>
        <v>3</v>
      </c>
      <c r="CF6" s="190">
        <f t="shared" si="4"/>
        <v>4</v>
      </c>
      <c r="CG6" s="190">
        <f t="shared" si="4"/>
        <v>5</v>
      </c>
      <c r="CH6" s="190">
        <f t="shared" si="4"/>
        <v>6</v>
      </c>
      <c r="CI6" s="190">
        <f t="shared" si="4"/>
        <v>7</v>
      </c>
      <c r="CJ6" s="190">
        <f t="shared" si="4"/>
        <v>8</v>
      </c>
      <c r="CK6" s="190">
        <f t="shared" si="4"/>
        <v>9</v>
      </c>
      <c r="CL6" s="190">
        <f t="shared" si="4"/>
        <v>10</v>
      </c>
      <c r="CM6" s="190">
        <f t="shared" si="4"/>
        <v>11</v>
      </c>
      <c r="CN6" s="190">
        <f t="shared" si="4"/>
        <v>12</v>
      </c>
      <c r="CO6" s="191" t="s">
        <v>0</v>
      </c>
      <c r="CP6" s="190">
        <v>1</v>
      </c>
      <c r="CQ6" s="190">
        <v>2</v>
      </c>
      <c r="CR6" s="190">
        <f aca="true" t="shared" si="5" ref="CR6:DA6">CQ6+1</f>
        <v>3</v>
      </c>
      <c r="CS6" s="190">
        <f t="shared" si="5"/>
        <v>4</v>
      </c>
      <c r="CT6" s="190">
        <f t="shared" si="5"/>
        <v>5</v>
      </c>
      <c r="CU6" s="190">
        <f t="shared" si="5"/>
        <v>6</v>
      </c>
      <c r="CV6" s="190">
        <f t="shared" si="5"/>
        <v>7</v>
      </c>
      <c r="CW6" s="190">
        <f t="shared" si="5"/>
        <v>8</v>
      </c>
      <c r="CX6" s="190">
        <f t="shared" si="5"/>
        <v>9</v>
      </c>
      <c r="CY6" s="190">
        <f t="shared" si="5"/>
        <v>10</v>
      </c>
      <c r="CZ6" s="190">
        <f t="shared" si="5"/>
        <v>11</v>
      </c>
      <c r="DA6" s="190">
        <f t="shared" si="5"/>
        <v>12</v>
      </c>
      <c r="DB6" s="191" t="s">
        <v>0</v>
      </c>
      <c r="DC6" s="190">
        <v>1</v>
      </c>
      <c r="DD6" s="190">
        <v>2</v>
      </c>
      <c r="DE6" s="190">
        <f aca="true" t="shared" si="6" ref="DE6:DN6">DD6+1</f>
        <v>3</v>
      </c>
      <c r="DF6" s="190">
        <f t="shared" si="6"/>
        <v>4</v>
      </c>
      <c r="DG6" s="190">
        <f t="shared" si="6"/>
        <v>5</v>
      </c>
      <c r="DH6" s="190">
        <f t="shared" si="6"/>
        <v>6</v>
      </c>
      <c r="DI6" s="190">
        <f t="shared" si="6"/>
        <v>7</v>
      </c>
      <c r="DJ6" s="190">
        <f t="shared" si="6"/>
        <v>8</v>
      </c>
      <c r="DK6" s="190">
        <f t="shared" si="6"/>
        <v>9</v>
      </c>
      <c r="DL6" s="190">
        <f t="shared" si="6"/>
        <v>10</v>
      </c>
      <c r="DM6" s="190">
        <f t="shared" si="6"/>
        <v>11</v>
      </c>
      <c r="DN6" s="190">
        <f t="shared" si="6"/>
        <v>12</v>
      </c>
      <c r="DO6" s="191" t="s">
        <v>1</v>
      </c>
    </row>
    <row r="7" spans="1:120" ht="12.75" hidden="1">
      <c r="A7" s="188" t="s">
        <v>106</v>
      </c>
      <c r="B7" s="193">
        <f>O7+AB7+AO7+BB7+BO7+CB7+CO7+DB7+DO7</f>
        <v>10657.284800000001</v>
      </c>
      <c r="C7" s="194">
        <f>'1-Ф3'!D29</f>
        <v>0</v>
      </c>
      <c r="D7" s="194">
        <f>'1-Ф3'!E29</f>
        <v>0</v>
      </c>
      <c r="E7" s="194">
        <f>'1-Ф3'!F29</f>
        <v>0</v>
      </c>
      <c r="F7" s="194">
        <f>'1-Ф3'!G29</f>
        <v>0</v>
      </c>
      <c r="G7" s="194">
        <f>'1-Ф3'!H29</f>
        <v>0</v>
      </c>
      <c r="H7" s="194">
        <f>'1-Ф3'!I29</f>
        <v>0</v>
      </c>
      <c r="I7" s="194">
        <f>'1-Ф3'!J29</f>
        <v>0</v>
      </c>
      <c r="J7" s="194">
        <f>'1-Ф3'!K29</f>
        <v>0</v>
      </c>
      <c r="K7" s="194">
        <f>'1-Ф3'!L29</f>
        <v>0</v>
      </c>
      <c r="L7" s="194">
        <f>'1-Ф3'!M29</f>
        <v>9914.1424</v>
      </c>
      <c r="M7" s="194">
        <f>'1-Ф3'!N29</f>
        <v>743.1424000000001</v>
      </c>
      <c r="N7" s="194">
        <f>'1-Ф3'!O29</f>
        <v>0</v>
      </c>
      <c r="O7" s="195">
        <f>SUM(C7:N7)</f>
        <v>10657.284800000001</v>
      </c>
      <c r="P7" s="194">
        <f>'1-Ф3'!Q29</f>
        <v>0</v>
      </c>
      <c r="Q7" s="194">
        <f>'1-Ф3'!R29</f>
        <v>0</v>
      </c>
      <c r="R7" s="194">
        <f>'1-Ф3'!S29</f>
        <v>0</v>
      </c>
      <c r="S7" s="194">
        <f>'1-Ф3'!T29</f>
        <v>0</v>
      </c>
      <c r="T7" s="194">
        <f>'1-Ф3'!U29</f>
        <v>0</v>
      </c>
      <c r="U7" s="194">
        <f>'1-Ф3'!V29</f>
        <v>0</v>
      </c>
      <c r="V7" s="194">
        <f>'1-Ф3'!W29</f>
        <v>0</v>
      </c>
      <c r="W7" s="194">
        <f>'1-Ф3'!X29</f>
        <v>0</v>
      </c>
      <c r="X7" s="194">
        <f>'1-Ф3'!Y29</f>
        <v>0</v>
      </c>
      <c r="Y7" s="194">
        <f>'1-Ф3'!Z29</f>
        <v>0</v>
      </c>
      <c r="Z7" s="194">
        <f>'1-Ф3'!AA29</f>
        <v>0</v>
      </c>
      <c r="AA7" s="194">
        <f>'1-Ф3'!AB29</f>
        <v>0</v>
      </c>
      <c r="AB7" s="194">
        <f>SUM(P7:AA7)</f>
        <v>0</v>
      </c>
      <c r="AC7" s="194">
        <f>'1-Ф3'!AD29</f>
        <v>0</v>
      </c>
      <c r="AD7" s="194">
        <f>'1-Ф3'!AE29</f>
        <v>0</v>
      </c>
      <c r="AE7" s="194">
        <f>'1-Ф3'!AF29</f>
        <v>0</v>
      </c>
      <c r="AF7" s="194">
        <f>'1-Ф3'!AG29</f>
        <v>0</v>
      </c>
      <c r="AG7" s="194">
        <f>'1-Ф3'!AH29</f>
        <v>0</v>
      </c>
      <c r="AH7" s="194">
        <f>'1-Ф3'!AI29</f>
        <v>0</v>
      </c>
      <c r="AI7" s="194">
        <f>'1-Ф3'!AJ29</f>
        <v>0</v>
      </c>
      <c r="AJ7" s="194">
        <f>'1-Ф3'!AK29</f>
        <v>0</v>
      </c>
      <c r="AK7" s="194">
        <f>'1-Ф3'!AL29</f>
        <v>0</v>
      </c>
      <c r="AL7" s="194">
        <f>'1-Ф3'!AM29</f>
        <v>0</v>
      </c>
      <c r="AM7" s="194">
        <f>'1-Ф3'!AN29</f>
        <v>0</v>
      </c>
      <c r="AN7" s="194">
        <f>'1-Ф3'!AO29</f>
        <v>0</v>
      </c>
      <c r="AO7" s="194">
        <f>SUM(AC7:AN7)</f>
        <v>0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6"/>
    </row>
    <row r="8" spans="1:119" s="197" customFormat="1" ht="20.25" customHeight="1" hidden="1">
      <c r="A8" s="188" t="s">
        <v>31</v>
      </c>
      <c r="B8" s="193">
        <f>O8+AB8+AO8+BB8+BO8+CB8+CO8+DB8+DO8</f>
        <v>1425.5173800000005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>
        <f>SUM(C8:N8)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5">
        <f>SUM(P8:AA8)</f>
        <v>0</v>
      </c>
      <c r="AC8" s="194"/>
      <c r="AD8" s="194"/>
      <c r="AE8" s="194"/>
      <c r="AF8" s="194"/>
      <c r="AG8" s="194"/>
      <c r="AH8" s="194"/>
      <c r="AI8" s="194"/>
      <c r="AJ8" s="194"/>
      <c r="AK8" s="194">
        <f>SUM(O9,AB9,(AC9:AK9))</f>
        <v>1425.5173800000005</v>
      </c>
      <c r="AL8" s="194"/>
      <c r="AM8" s="194"/>
      <c r="AN8" s="194"/>
      <c r="AO8" s="195">
        <f>SUM(AC8:AN8)</f>
        <v>1425.5173800000005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5">
        <f>SUM(AP8:BA8)</f>
        <v>0</v>
      </c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5">
        <f>SUM(BC8:BN8)</f>
        <v>0</v>
      </c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5">
        <f>SUM(BP8:CA8)</f>
        <v>0</v>
      </c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5">
        <f>SUM(CC8:CN8)</f>
        <v>0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5">
        <f>SUM(CP8:DA8)</f>
        <v>0</v>
      </c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5">
        <f>SUM(DC8:DN8)</f>
        <v>0</v>
      </c>
    </row>
    <row r="9" spans="1:119" s="197" customFormat="1" ht="12.75" hidden="1">
      <c r="A9" s="198" t="s">
        <v>13</v>
      </c>
      <c r="B9" s="193">
        <f>O9+AB9+AO9+BB9+BO9+CB9+CO9+DB9+DO9</f>
        <v>4106.691183742006</v>
      </c>
      <c r="C9" s="194"/>
      <c r="D9" s="194">
        <f>C12*$B$5/12</f>
        <v>0</v>
      </c>
      <c r="E9" s="194">
        <f>D12*$B$5/12</f>
        <v>0</v>
      </c>
      <c r="F9" s="194">
        <f>E12*$B$5/12</f>
        <v>0</v>
      </c>
      <c r="G9" s="194">
        <f>F12*$B$5/12</f>
        <v>0</v>
      </c>
      <c r="H9" s="194">
        <f>G12*$B$5/12</f>
        <v>0</v>
      </c>
      <c r="I9" s="194">
        <f aca="true" t="shared" si="7" ref="I9:AA9">H12*$B$5/12</f>
        <v>0</v>
      </c>
      <c r="J9" s="194">
        <f t="shared" si="7"/>
        <v>0</v>
      </c>
      <c r="K9" s="194">
        <f t="shared" si="7"/>
        <v>0</v>
      </c>
      <c r="L9" s="194">
        <f>K12*$B$5/12</f>
        <v>0</v>
      </c>
      <c r="M9" s="194">
        <f t="shared" si="7"/>
        <v>57.83249733333334</v>
      </c>
      <c r="N9" s="194">
        <f t="shared" si="7"/>
        <v>62.16749466666668</v>
      </c>
      <c r="O9" s="195">
        <f>SUM(C9:N9)</f>
        <v>119.99999200000002</v>
      </c>
      <c r="P9" s="194">
        <f t="shared" si="7"/>
        <v>62.16749466666668</v>
      </c>
      <c r="Q9" s="194">
        <f t="shared" si="7"/>
        <v>62.16749466666668</v>
      </c>
      <c r="R9" s="194">
        <f t="shared" si="7"/>
        <v>62.16749466666668</v>
      </c>
      <c r="S9" s="194">
        <f t="shared" si="7"/>
        <v>62.16749466666668</v>
      </c>
      <c r="T9" s="194">
        <f t="shared" si="7"/>
        <v>62.16749466666668</v>
      </c>
      <c r="U9" s="194">
        <f t="shared" si="7"/>
        <v>62.16749466666668</v>
      </c>
      <c r="V9" s="194">
        <f t="shared" si="7"/>
        <v>62.16749466666668</v>
      </c>
      <c r="W9" s="194">
        <f t="shared" si="7"/>
        <v>62.16749466666668</v>
      </c>
      <c r="X9" s="194">
        <f t="shared" si="7"/>
        <v>62.16749466666668</v>
      </c>
      <c r="Y9" s="194">
        <f t="shared" si="7"/>
        <v>62.16749466666668</v>
      </c>
      <c r="Z9" s="194">
        <f t="shared" si="7"/>
        <v>62.16749466666668</v>
      </c>
      <c r="AA9" s="194">
        <f t="shared" si="7"/>
        <v>62.16749466666668</v>
      </c>
      <c r="AB9" s="195">
        <f>SUM(P9:AA9)</f>
        <v>746.0099360000003</v>
      </c>
      <c r="AC9" s="194">
        <f aca="true" t="shared" si="8" ref="AC9:AN9">AB12*$B$5/12</f>
        <v>62.16749466666668</v>
      </c>
      <c r="AD9" s="194">
        <f t="shared" si="8"/>
        <v>62.16749466666668</v>
      </c>
      <c r="AE9" s="194">
        <f t="shared" si="8"/>
        <v>62.16749466666668</v>
      </c>
      <c r="AF9" s="194">
        <f t="shared" si="8"/>
        <v>62.16749466666668</v>
      </c>
      <c r="AG9" s="194">
        <f t="shared" si="8"/>
        <v>62.16749466666668</v>
      </c>
      <c r="AH9" s="194">
        <f t="shared" si="8"/>
        <v>62.16749466666668</v>
      </c>
      <c r="AI9" s="194">
        <f t="shared" si="8"/>
        <v>62.16749466666668</v>
      </c>
      <c r="AJ9" s="194">
        <f t="shared" si="8"/>
        <v>62.16749466666668</v>
      </c>
      <c r="AK9" s="194">
        <f t="shared" si="8"/>
        <v>62.16749466666668</v>
      </c>
      <c r="AL9" s="194">
        <f t="shared" si="8"/>
        <v>70.48301271666669</v>
      </c>
      <c r="AM9" s="194">
        <f t="shared" si="8"/>
        <v>69.5432392137778</v>
      </c>
      <c r="AN9" s="194">
        <f t="shared" si="8"/>
        <v>68.60346571088891</v>
      </c>
      <c r="AO9" s="195">
        <f>SUM(AC9:AN9)</f>
        <v>768.1371696413337</v>
      </c>
      <c r="AP9" s="194">
        <f aca="true" t="shared" si="9" ref="AP9:BA9">AO12*$B$5/12</f>
        <v>67.66369220800003</v>
      </c>
      <c r="AQ9" s="194">
        <f t="shared" si="9"/>
        <v>66.72391870511115</v>
      </c>
      <c r="AR9" s="194">
        <f t="shared" si="9"/>
        <v>65.78414520222226</v>
      </c>
      <c r="AS9" s="194">
        <f t="shared" si="9"/>
        <v>64.84437169933338</v>
      </c>
      <c r="AT9" s="194">
        <f t="shared" si="9"/>
        <v>63.90459819644449</v>
      </c>
      <c r="AU9" s="194">
        <f t="shared" si="9"/>
        <v>62.964824693555606</v>
      </c>
      <c r="AV9" s="194">
        <f t="shared" si="9"/>
        <v>62.025051190666716</v>
      </c>
      <c r="AW9" s="194">
        <f t="shared" si="9"/>
        <v>61.08527768777784</v>
      </c>
      <c r="AX9" s="194">
        <f t="shared" si="9"/>
        <v>60.14550418488895</v>
      </c>
      <c r="AY9" s="194">
        <f t="shared" si="9"/>
        <v>59.20573068200006</v>
      </c>
      <c r="AZ9" s="194">
        <f t="shared" si="9"/>
        <v>58.265957179111176</v>
      </c>
      <c r="BA9" s="194">
        <f t="shared" si="9"/>
        <v>57.32618367622229</v>
      </c>
      <c r="BB9" s="195">
        <f>SUM(AP9:BA9)</f>
        <v>749.939255305334</v>
      </c>
      <c r="BC9" s="194">
        <f aca="true" t="shared" si="10" ref="BC9:BN9">BB12*$B$5/12</f>
        <v>56.38641017333341</v>
      </c>
      <c r="BD9" s="194">
        <f t="shared" si="10"/>
        <v>55.44663667044452</v>
      </c>
      <c r="BE9" s="194">
        <f t="shared" si="10"/>
        <v>54.50686316755564</v>
      </c>
      <c r="BF9" s="194">
        <f t="shared" si="10"/>
        <v>53.56708966466675</v>
      </c>
      <c r="BG9" s="194">
        <f t="shared" si="10"/>
        <v>52.62731616177786</v>
      </c>
      <c r="BH9" s="194">
        <f t="shared" si="10"/>
        <v>51.68754265888898</v>
      </c>
      <c r="BI9" s="194">
        <f t="shared" si="10"/>
        <v>50.747769156000096</v>
      </c>
      <c r="BJ9" s="194">
        <f t="shared" si="10"/>
        <v>49.80799565311121</v>
      </c>
      <c r="BK9" s="194">
        <f t="shared" si="10"/>
        <v>48.86822215022232</v>
      </c>
      <c r="BL9" s="194">
        <f t="shared" si="10"/>
        <v>47.92844864733343</v>
      </c>
      <c r="BM9" s="194">
        <f t="shared" si="10"/>
        <v>46.98867514444455</v>
      </c>
      <c r="BN9" s="194">
        <f t="shared" si="10"/>
        <v>46.04890164155566</v>
      </c>
      <c r="BO9" s="195">
        <f>SUM(BC9:BN9)</f>
        <v>614.6118708893345</v>
      </c>
      <c r="BP9" s="194">
        <f aca="true" t="shared" si="11" ref="BP9:CA9">BO12*$B$5/12</f>
        <v>45.10912813866677</v>
      </c>
      <c r="BQ9" s="194">
        <f t="shared" si="11"/>
        <v>44.16935463577787</v>
      </c>
      <c r="BR9" s="194">
        <f t="shared" si="11"/>
        <v>43.22958113288899</v>
      </c>
      <c r="BS9" s="194">
        <f t="shared" si="11"/>
        <v>42.28980763000009</v>
      </c>
      <c r="BT9" s="194">
        <f t="shared" si="11"/>
        <v>41.35003412711121</v>
      </c>
      <c r="BU9" s="194">
        <f t="shared" si="11"/>
        <v>40.41026062422231</v>
      </c>
      <c r="BV9" s="194">
        <f t="shared" si="11"/>
        <v>39.47048712133343</v>
      </c>
      <c r="BW9" s="194">
        <f t="shared" si="11"/>
        <v>38.53071361844453</v>
      </c>
      <c r="BX9" s="194">
        <f t="shared" si="11"/>
        <v>37.59094011555565</v>
      </c>
      <c r="BY9" s="194">
        <f t="shared" si="11"/>
        <v>36.65116661266675</v>
      </c>
      <c r="BZ9" s="194">
        <f t="shared" si="11"/>
        <v>35.71139310977786</v>
      </c>
      <c r="CA9" s="194">
        <f t="shared" si="11"/>
        <v>34.77161960688897</v>
      </c>
      <c r="CB9" s="195">
        <f>SUM(BP9:CA9)</f>
        <v>479.2844864733344</v>
      </c>
      <c r="CC9" s="194">
        <f aca="true" t="shared" si="12" ref="CC9:CN9">CB12*$B$5/12</f>
        <v>33.83184610400008</v>
      </c>
      <c r="CD9" s="194">
        <f t="shared" si="12"/>
        <v>32.89207260111119</v>
      </c>
      <c r="CE9" s="194">
        <f t="shared" si="12"/>
        <v>31.952299098222298</v>
      </c>
      <c r="CF9" s="194">
        <f t="shared" si="12"/>
        <v>31.012525595333404</v>
      </c>
      <c r="CG9" s="194">
        <f t="shared" si="12"/>
        <v>30.072752092444517</v>
      </c>
      <c r="CH9" s="194">
        <f t="shared" si="12"/>
        <v>29.132978589555623</v>
      </c>
      <c r="CI9" s="194">
        <f t="shared" si="12"/>
        <v>28.193205086666737</v>
      </c>
      <c r="CJ9" s="194">
        <f t="shared" si="12"/>
        <v>27.253431583777843</v>
      </c>
      <c r="CK9" s="194">
        <f t="shared" si="12"/>
        <v>26.313658080888956</v>
      </c>
      <c r="CL9" s="194">
        <f t="shared" si="12"/>
        <v>25.373884578000062</v>
      </c>
      <c r="CM9" s="194">
        <f t="shared" si="12"/>
        <v>24.434111075111172</v>
      </c>
      <c r="CN9" s="194">
        <f t="shared" si="12"/>
        <v>23.494337572222282</v>
      </c>
      <c r="CO9" s="195">
        <f>SUM(CC9:CN9)</f>
        <v>343.9571020573341</v>
      </c>
      <c r="CP9" s="194">
        <f aca="true" t="shared" si="13" ref="CP9:DA9">CO12*$B$5/12</f>
        <v>22.554564069333395</v>
      </c>
      <c r="CQ9" s="194">
        <f t="shared" si="13"/>
        <v>21.61479056644451</v>
      </c>
      <c r="CR9" s="194">
        <f t="shared" si="13"/>
        <v>20.67501706355562</v>
      </c>
      <c r="CS9" s="194">
        <f t="shared" si="13"/>
        <v>19.735243560666735</v>
      </c>
      <c r="CT9" s="194">
        <f t="shared" si="13"/>
        <v>18.795470057777845</v>
      </c>
      <c r="CU9" s="194">
        <f t="shared" si="13"/>
        <v>17.855696554888958</v>
      </c>
      <c r="CV9" s="194">
        <f t="shared" si="13"/>
        <v>16.91592305200007</v>
      </c>
      <c r="CW9" s="194">
        <f t="shared" si="13"/>
        <v>15.97614954911118</v>
      </c>
      <c r="CX9" s="194">
        <f t="shared" si="13"/>
        <v>15.036376046222292</v>
      </c>
      <c r="CY9" s="194">
        <f t="shared" si="13"/>
        <v>14.096602543333404</v>
      </c>
      <c r="CZ9" s="194">
        <f t="shared" si="13"/>
        <v>13.156829040444515</v>
      </c>
      <c r="DA9" s="194">
        <f t="shared" si="13"/>
        <v>12.217055537555629</v>
      </c>
      <c r="DB9" s="195">
        <f>SUM(CP9:DA9)</f>
        <v>208.62971764133414</v>
      </c>
      <c r="DC9" s="194">
        <f aca="true" t="shared" si="14" ref="DC9:DN9">DB12*$B$5/12</f>
        <v>11.27728203466674</v>
      </c>
      <c r="DD9" s="194">
        <f t="shared" si="14"/>
        <v>10.33750853177785</v>
      </c>
      <c r="DE9" s="194">
        <f t="shared" si="14"/>
        <v>9.397735028888961</v>
      </c>
      <c r="DF9" s="194">
        <f t="shared" si="14"/>
        <v>8.457961526000071</v>
      </c>
      <c r="DG9" s="194">
        <f t="shared" si="14"/>
        <v>7.518188023111183</v>
      </c>
      <c r="DH9" s="194">
        <f t="shared" si="14"/>
        <v>6.578414520222292</v>
      </c>
      <c r="DI9" s="194">
        <f t="shared" si="14"/>
        <v>5.638641017333403</v>
      </c>
      <c r="DJ9" s="194">
        <f t="shared" si="14"/>
        <v>4.6988675144445144</v>
      </c>
      <c r="DK9" s="194">
        <f t="shared" si="14"/>
        <v>3.759094011555625</v>
      </c>
      <c r="DL9" s="194">
        <f t="shared" si="14"/>
        <v>2.8193205086667352</v>
      </c>
      <c r="DM9" s="194">
        <f t="shared" si="14"/>
        <v>2.8193205086667352</v>
      </c>
      <c r="DN9" s="194">
        <f t="shared" si="14"/>
        <v>2.8193205086667352</v>
      </c>
      <c r="DO9" s="195">
        <f>SUM(DC9:DN9)</f>
        <v>76.12165373400084</v>
      </c>
    </row>
    <row r="10" spans="1:120" ht="12.75" hidden="1">
      <c r="A10" s="188" t="s">
        <v>14</v>
      </c>
      <c r="B10" s="193">
        <f>O10+AB10+AO10+BB10+BO10+CB10+CO10+DB10+DO10</f>
        <v>11599.490092800002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9"/>
      <c r="M10" s="199"/>
      <c r="N10" s="199"/>
      <c r="O10" s="195">
        <f>SUM(C10:N10)</f>
        <v>0</v>
      </c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5">
        <f>SUM(P10:AA10)</f>
        <v>0</v>
      </c>
      <c r="AC10" s="199"/>
      <c r="AD10" s="199"/>
      <c r="AE10" s="199"/>
      <c r="AF10" s="199"/>
      <c r="AG10" s="199"/>
      <c r="AH10" s="199"/>
      <c r="AI10" s="199"/>
      <c r="AJ10" s="199"/>
      <c r="AK10" s="199"/>
      <c r="AL10" s="194">
        <f>$AK$12/$B$13</f>
        <v>161.1040290666667</v>
      </c>
      <c r="AM10" s="194">
        <f aca="true" t="shared" si="15" ref="AM10:CY10">$AK$12/$B$13</f>
        <v>161.1040290666667</v>
      </c>
      <c r="AN10" s="194">
        <f t="shared" si="15"/>
        <v>161.1040290666667</v>
      </c>
      <c r="AO10" s="195">
        <f>SUM(AC10:AN10)</f>
        <v>483.31208720000006</v>
      </c>
      <c r="AP10" s="194">
        <f t="shared" si="15"/>
        <v>161.1040290666667</v>
      </c>
      <c r="AQ10" s="194">
        <f t="shared" si="15"/>
        <v>161.1040290666667</v>
      </c>
      <c r="AR10" s="194">
        <f t="shared" si="15"/>
        <v>161.1040290666667</v>
      </c>
      <c r="AS10" s="194">
        <f t="shared" si="15"/>
        <v>161.1040290666667</v>
      </c>
      <c r="AT10" s="194">
        <f t="shared" si="15"/>
        <v>161.1040290666667</v>
      </c>
      <c r="AU10" s="194">
        <f t="shared" si="15"/>
        <v>161.1040290666667</v>
      </c>
      <c r="AV10" s="194">
        <f t="shared" si="15"/>
        <v>161.1040290666667</v>
      </c>
      <c r="AW10" s="194">
        <f t="shared" si="15"/>
        <v>161.1040290666667</v>
      </c>
      <c r="AX10" s="194">
        <f t="shared" si="15"/>
        <v>161.1040290666667</v>
      </c>
      <c r="AY10" s="194">
        <f t="shared" si="15"/>
        <v>161.1040290666667</v>
      </c>
      <c r="AZ10" s="194">
        <f t="shared" si="15"/>
        <v>161.1040290666667</v>
      </c>
      <c r="BA10" s="194">
        <f t="shared" si="15"/>
        <v>161.1040290666667</v>
      </c>
      <c r="BB10" s="195">
        <f>SUM(AP10:BA10)</f>
        <v>1933.2483488000005</v>
      </c>
      <c r="BC10" s="194">
        <f t="shared" si="15"/>
        <v>161.1040290666667</v>
      </c>
      <c r="BD10" s="194">
        <f t="shared" si="15"/>
        <v>161.1040290666667</v>
      </c>
      <c r="BE10" s="194">
        <f t="shared" si="15"/>
        <v>161.1040290666667</v>
      </c>
      <c r="BF10" s="194">
        <f t="shared" si="15"/>
        <v>161.1040290666667</v>
      </c>
      <c r="BG10" s="194">
        <f t="shared" si="15"/>
        <v>161.1040290666667</v>
      </c>
      <c r="BH10" s="194">
        <f t="shared" si="15"/>
        <v>161.1040290666667</v>
      </c>
      <c r="BI10" s="194">
        <f t="shared" si="15"/>
        <v>161.1040290666667</v>
      </c>
      <c r="BJ10" s="194">
        <f t="shared" si="15"/>
        <v>161.1040290666667</v>
      </c>
      <c r="BK10" s="194">
        <f t="shared" si="15"/>
        <v>161.1040290666667</v>
      </c>
      <c r="BL10" s="194">
        <f t="shared" si="15"/>
        <v>161.1040290666667</v>
      </c>
      <c r="BM10" s="194">
        <f t="shared" si="15"/>
        <v>161.1040290666667</v>
      </c>
      <c r="BN10" s="194">
        <f t="shared" si="15"/>
        <v>161.1040290666667</v>
      </c>
      <c r="BO10" s="195">
        <f>SUM(BC10:BN10)</f>
        <v>1933.2483488000005</v>
      </c>
      <c r="BP10" s="194">
        <f t="shared" si="15"/>
        <v>161.1040290666667</v>
      </c>
      <c r="BQ10" s="194">
        <f t="shared" si="15"/>
        <v>161.1040290666667</v>
      </c>
      <c r="BR10" s="194">
        <f t="shared" si="15"/>
        <v>161.1040290666667</v>
      </c>
      <c r="BS10" s="194">
        <f t="shared" si="15"/>
        <v>161.1040290666667</v>
      </c>
      <c r="BT10" s="194">
        <f t="shared" si="15"/>
        <v>161.1040290666667</v>
      </c>
      <c r="BU10" s="194">
        <f t="shared" si="15"/>
        <v>161.1040290666667</v>
      </c>
      <c r="BV10" s="194">
        <f t="shared" si="15"/>
        <v>161.1040290666667</v>
      </c>
      <c r="BW10" s="194">
        <f t="shared" si="15"/>
        <v>161.1040290666667</v>
      </c>
      <c r="BX10" s="194">
        <f t="shared" si="15"/>
        <v>161.1040290666667</v>
      </c>
      <c r="BY10" s="194">
        <f t="shared" si="15"/>
        <v>161.1040290666667</v>
      </c>
      <c r="BZ10" s="194">
        <f t="shared" si="15"/>
        <v>161.1040290666667</v>
      </c>
      <c r="CA10" s="194">
        <f t="shared" si="15"/>
        <v>161.1040290666667</v>
      </c>
      <c r="CB10" s="195">
        <f>SUM(BP10:CA10)</f>
        <v>1933.2483488000005</v>
      </c>
      <c r="CC10" s="194">
        <f t="shared" si="15"/>
        <v>161.1040290666667</v>
      </c>
      <c r="CD10" s="194">
        <f t="shared" si="15"/>
        <v>161.1040290666667</v>
      </c>
      <c r="CE10" s="194">
        <f t="shared" si="15"/>
        <v>161.1040290666667</v>
      </c>
      <c r="CF10" s="194">
        <f t="shared" si="15"/>
        <v>161.1040290666667</v>
      </c>
      <c r="CG10" s="194">
        <f t="shared" si="15"/>
        <v>161.1040290666667</v>
      </c>
      <c r="CH10" s="194">
        <f t="shared" si="15"/>
        <v>161.1040290666667</v>
      </c>
      <c r="CI10" s="194">
        <f t="shared" si="15"/>
        <v>161.1040290666667</v>
      </c>
      <c r="CJ10" s="194">
        <f t="shared" si="15"/>
        <v>161.1040290666667</v>
      </c>
      <c r="CK10" s="194">
        <f t="shared" si="15"/>
        <v>161.1040290666667</v>
      </c>
      <c r="CL10" s="194">
        <f t="shared" si="15"/>
        <v>161.1040290666667</v>
      </c>
      <c r="CM10" s="194">
        <f t="shared" si="15"/>
        <v>161.1040290666667</v>
      </c>
      <c r="CN10" s="194">
        <f t="shared" si="15"/>
        <v>161.1040290666667</v>
      </c>
      <c r="CO10" s="195">
        <f>SUM(CC10:CN10)</f>
        <v>1933.2483488000005</v>
      </c>
      <c r="CP10" s="194">
        <f t="shared" si="15"/>
        <v>161.1040290666667</v>
      </c>
      <c r="CQ10" s="194">
        <f t="shared" si="15"/>
        <v>161.1040290666667</v>
      </c>
      <c r="CR10" s="194">
        <f t="shared" si="15"/>
        <v>161.1040290666667</v>
      </c>
      <c r="CS10" s="194">
        <f t="shared" si="15"/>
        <v>161.1040290666667</v>
      </c>
      <c r="CT10" s="194">
        <f t="shared" si="15"/>
        <v>161.1040290666667</v>
      </c>
      <c r="CU10" s="194">
        <f t="shared" si="15"/>
        <v>161.1040290666667</v>
      </c>
      <c r="CV10" s="194">
        <f t="shared" si="15"/>
        <v>161.1040290666667</v>
      </c>
      <c r="CW10" s="194">
        <f t="shared" si="15"/>
        <v>161.1040290666667</v>
      </c>
      <c r="CX10" s="194">
        <f t="shared" si="15"/>
        <v>161.1040290666667</v>
      </c>
      <c r="CY10" s="194">
        <f t="shared" si="15"/>
        <v>161.1040290666667</v>
      </c>
      <c r="CZ10" s="194">
        <f aca="true" t="shared" si="16" ref="CZ10:DK10">$AK$12/$B$13</f>
        <v>161.1040290666667</v>
      </c>
      <c r="DA10" s="194">
        <f t="shared" si="16"/>
        <v>161.1040290666667</v>
      </c>
      <c r="DB10" s="195">
        <f>SUM(CP10:DA10)</f>
        <v>1933.2483488000005</v>
      </c>
      <c r="DC10" s="194">
        <f t="shared" si="16"/>
        <v>161.1040290666667</v>
      </c>
      <c r="DD10" s="194">
        <f t="shared" si="16"/>
        <v>161.1040290666667</v>
      </c>
      <c r="DE10" s="194">
        <f t="shared" si="16"/>
        <v>161.1040290666667</v>
      </c>
      <c r="DF10" s="194">
        <f t="shared" si="16"/>
        <v>161.1040290666667</v>
      </c>
      <c r="DG10" s="194">
        <f t="shared" si="16"/>
        <v>161.1040290666667</v>
      </c>
      <c r="DH10" s="194">
        <f t="shared" si="16"/>
        <v>161.1040290666667</v>
      </c>
      <c r="DI10" s="194">
        <f t="shared" si="16"/>
        <v>161.1040290666667</v>
      </c>
      <c r="DJ10" s="194">
        <f t="shared" si="16"/>
        <v>161.1040290666667</v>
      </c>
      <c r="DK10" s="194">
        <f t="shared" si="16"/>
        <v>161.1040290666667</v>
      </c>
      <c r="DL10" s="194"/>
      <c r="DM10" s="194"/>
      <c r="DN10" s="194"/>
      <c r="DO10" s="195">
        <f>SUM(DC10:DN10)</f>
        <v>1449.9362616000003</v>
      </c>
      <c r="DP10" s="196"/>
    </row>
    <row r="11" spans="1:120" ht="12.75" hidden="1">
      <c r="A11" s="188" t="s">
        <v>15</v>
      </c>
      <c r="B11" s="193">
        <f>O11+AB11+AO11+BB11+BO11+CB11+CO11+DB11+DO11</f>
        <v>2681.173803742005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9"/>
      <c r="M11" s="199"/>
      <c r="N11" s="199"/>
      <c r="O11" s="195">
        <f>SUM(C11:N11)</f>
        <v>0</v>
      </c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5">
        <f>SUM(P11:AA11)</f>
        <v>0</v>
      </c>
      <c r="AC11" s="199"/>
      <c r="AD11" s="199"/>
      <c r="AE11" s="199"/>
      <c r="AF11" s="199"/>
      <c r="AG11" s="199"/>
      <c r="AH11" s="199"/>
      <c r="AI11" s="199"/>
      <c r="AJ11" s="199"/>
      <c r="AK11" s="199"/>
      <c r="AL11" s="194">
        <f aca="true" t="shared" si="17" ref="AL11:BN11">AL9</f>
        <v>70.48301271666669</v>
      </c>
      <c r="AM11" s="194">
        <f t="shared" si="17"/>
        <v>69.5432392137778</v>
      </c>
      <c r="AN11" s="194">
        <f t="shared" si="17"/>
        <v>68.60346571088891</v>
      </c>
      <c r="AO11" s="195">
        <f>SUM(AC11:AN11)</f>
        <v>208.6297176413334</v>
      </c>
      <c r="AP11" s="194">
        <f t="shared" si="17"/>
        <v>67.66369220800003</v>
      </c>
      <c r="AQ11" s="194">
        <f t="shared" si="17"/>
        <v>66.72391870511115</v>
      </c>
      <c r="AR11" s="194">
        <f t="shared" si="17"/>
        <v>65.78414520222226</v>
      </c>
      <c r="AS11" s="194">
        <f t="shared" si="17"/>
        <v>64.84437169933338</v>
      </c>
      <c r="AT11" s="194">
        <f t="shared" si="17"/>
        <v>63.90459819644449</v>
      </c>
      <c r="AU11" s="194">
        <f t="shared" si="17"/>
        <v>62.964824693555606</v>
      </c>
      <c r="AV11" s="194">
        <f t="shared" si="17"/>
        <v>62.025051190666716</v>
      </c>
      <c r="AW11" s="194">
        <f t="shared" si="17"/>
        <v>61.08527768777784</v>
      </c>
      <c r="AX11" s="194">
        <f t="shared" si="17"/>
        <v>60.14550418488895</v>
      </c>
      <c r="AY11" s="194">
        <f t="shared" si="17"/>
        <v>59.20573068200006</v>
      </c>
      <c r="AZ11" s="194">
        <f t="shared" si="17"/>
        <v>58.265957179111176</v>
      </c>
      <c r="BA11" s="194">
        <f t="shared" si="17"/>
        <v>57.32618367622229</v>
      </c>
      <c r="BB11" s="195">
        <f>SUM(AP11:BA11)</f>
        <v>749.939255305334</v>
      </c>
      <c r="BC11" s="194">
        <f t="shared" si="17"/>
        <v>56.38641017333341</v>
      </c>
      <c r="BD11" s="194">
        <f t="shared" si="17"/>
        <v>55.44663667044452</v>
      </c>
      <c r="BE11" s="194">
        <f t="shared" si="17"/>
        <v>54.50686316755564</v>
      </c>
      <c r="BF11" s="194">
        <f t="shared" si="17"/>
        <v>53.56708966466675</v>
      </c>
      <c r="BG11" s="194">
        <f t="shared" si="17"/>
        <v>52.62731616177786</v>
      </c>
      <c r="BH11" s="194">
        <f t="shared" si="17"/>
        <v>51.68754265888898</v>
      </c>
      <c r="BI11" s="194">
        <f t="shared" si="17"/>
        <v>50.747769156000096</v>
      </c>
      <c r="BJ11" s="194">
        <f t="shared" si="17"/>
        <v>49.80799565311121</v>
      </c>
      <c r="BK11" s="194">
        <f t="shared" si="17"/>
        <v>48.86822215022232</v>
      </c>
      <c r="BL11" s="194">
        <f t="shared" si="17"/>
        <v>47.92844864733343</v>
      </c>
      <c r="BM11" s="194">
        <f t="shared" si="17"/>
        <v>46.98867514444455</v>
      </c>
      <c r="BN11" s="194">
        <f t="shared" si="17"/>
        <v>46.04890164155566</v>
      </c>
      <c r="BO11" s="195">
        <f>SUM(BC11:BN11)</f>
        <v>614.6118708893345</v>
      </c>
      <c r="BP11" s="194">
        <f aca="true" t="shared" si="18" ref="BP11:CA11">BP9</f>
        <v>45.10912813866677</v>
      </c>
      <c r="BQ11" s="194">
        <f t="shared" si="18"/>
        <v>44.16935463577787</v>
      </c>
      <c r="BR11" s="194">
        <f t="shared" si="18"/>
        <v>43.22958113288899</v>
      </c>
      <c r="BS11" s="194">
        <f t="shared" si="18"/>
        <v>42.28980763000009</v>
      </c>
      <c r="BT11" s="194">
        <f t="shared" si="18"/>
        <v>41.35003412711121</v>
      </c>
      <c r="BU11" s="194">
        <f t="shared" si="18"/>
        <v>40.41026062422231</v>
      </c>
      <c r="BV11" s="194">
        <f t="shared" si="18"/>
        <v>39.47048712133343</v>
      </c>
      <c r="BW11" s="194">
        <f t="shared" si="18"/>
        <v>38.53071361844453</v>
      </c>
      <c r="BX11" s="194">
        <f t="shared" si="18"/>
        <v>37.59094011555565</v>
      </c>
      <c r="BY11" s="194">
        <f t="shared" si="18"/>
        <v>36.65116661266675</v>
      </c>
      <c r="BZ11" s="194">
        <f t="shared" si="18"/>
        <v>35.71139310977786</v>
      </c>
      <c r="CA11" s="194">
        <f t="shared" si="18"/>
        <v>34.77161960688897</v>
      </c>
      <c r="CB11" s="195">
        <f>SUM(BP11:CA11)</f>
        <v>479.2844864733344</v>
      </c>
      <c r="CC11" s="194">
        <f aca="true" t="shared" si="19" ref="CC11:CN11">CC9</f>
        <v>33.83184610400008</v>
      </c>
      <c r="CD11" s="194">
        <f t="shared" si="19"/>
        <v>32.89207260111119</v>
      </c>
      <c r="CE11" s="194">
        <f t="shared" si="19"/>
        <v>31.952299098222298</v>
      </c>
      <c r="CF11" s="194">
        <f t="shared" si="19"/>
        <v>31.012525595333404</v>
      </c>
      <c r="CG11" s="194">
        <f t="shared" si="19"/>
        <v>30.072752092444517</v>
      </c>
      <c r="CH11" s="194">
        <f t="shared" si="19"/>
        <v>29.132978589555623</v>
      </c>
      <c r="CI11" s="194">
        <f t="shared" si="19"/>
        <v>28.193205086666737</v>
      </c>
      <c r="CJ11" s="194">
        <f t="shared" si="19"/>
        <v>27.253431583777843</v>
      </c>
      <c r="CK11" s="194">
        <f t="shared" si="19"/>
        <v>26.313658080888956</v>
      </c>
      <c r="CL11" s="194">
        <f t="shared" si="19"/>
        <v>25.373884578000062</v>
      </c>
      <c r="CM11" s="194">
        <f t="shared" si="19"/>
        <v>24.434111075111172</v>
      </c>
      <c r="CN11" s="194">
        <f t="shared" si="19"/>
        <v>23.494337572222282</v>
      </c>
      <c r="CO11" s="195">
        <f>SUM(CC11:CN11)</f>
        <v>343.9571020573341</v>
      </c>
      <c r="CP11" s="194">
        <f aca="true" t="shared" si="20" ref="CP11:DA11">CP9</f>
        <v>22.554564069333395</v>
      </c>
      <c r="CQ11" s="194">
        <f t="shared" si="20"/>
        <v>21.61479056644451</v>
      </c>
      <c r="CR11" s="194">
        <f t="shared" si="20"/>
        <v>20.67501706355562</v>
      </c>
      <c r="CS11" s="194">
        <f t="shared" si="20"/>
        <v>19.735243560666735</v>
      </c>
      <c r="CT11" s="194">
        <f t="shared" si="20"/>
        <v>18.795470057777845</v>
      </c>
      <c r="CU11" s="194">
        <f t="shared" si="20"/>
        <v>17.855696554888958</v>
      </c>
      <c r="CV11" s="194">
        <f t="shared" si="20"/>
        <v>16.91592305200007</v>
      </c>
      <c r="CW11" s="194">
        <f t="shared" si="20"/>
        <v>15.97614954911118</v>
      </c>
      <c r="CX11" s="194">
        <f t="shared" si="20"/>
        <v>15.036376046222292</v>
      </c>
      <c r="CY11" s="194">
        <f t="shared" si="20"/>
        <v>14.096602543333404</v>
      </c>
      <c r="CZ11" s="194">
        <f t="shared" si="20"/>
        <v>13.156829040444515</v>
      </c>
      <c r="DA11" s="194">
        <f t="shared" si="20"/>
        <v>12.217055537555629</v>
      </c>
      <c r="DB11" s="195">
        <f>SUM(CP11:DA11)</f>
        <v>208.62971764133414</v>
      </c>
      <c r="DC11" s="194">
        <f aca="true" t="shared" si="21" ref="DC11:DN11">DC9</f>
        <v>11.27728203466674</v>
      </c>
      <c r="DD11" s="194">
        <f t="shared" si="21"/>
        <v>10.33750853177785</v>
      </c>
      <c r="DE11" s="194">
        <f t="shared" si="21"/>
        <v>9.397735028888961</v>
      </c>
      <c r="DF11" s="194">
        <f t="shared" si="21"/>
        <v>8.457961526000071</v>
      </c>
      <c r="DG11" s="194">
        <f t="shared" si="21"/>
        <v>7.518188023111183</v>
      </c>
      <c r="DH11" s="194">
        <f t="shared" si="21"/>
        <v>6.578414520222292</v>
      </c>
      <c r="DI11" s="194">
        <f t="shared" si="21"/>
        <v>5.638641017333403</v>
      </c>
      <c r="DJ11" s="194">
        <f t="shared" si="21"/>
        <v>4.6988675144445144</v>
      </c>
      <c r="DK11" s="194">
        <f t="shared" si="21"/>
        <v>3.759094011555625</v>
      </c>
      <c r="DL11" s="194">
        <f t="shared" si="21"/>
        <v>2.8193205086667352</v>
      </c>
      <c r="DM11" s="194">
        <f t="shared" si="21"/>
        <v>2.8193205086667352</v>
      </c>
      <c r="DN11" s="194">
        <f t="shared" si="21"/>
        <v>2.8193205086667352</v>
      </c>
      <c r="DO11" s="195">
        <f>SUM(DC11:DN11)</f>
        <v>76.12165373400084</v>
      </c>
      <c r="DP11" s="196" t="s">
        <v>58</v>
      </c>
    </row>
    <row r="12" spans="1:120" ht="12.75" hidden="1">
      <c r="A12" s="188" t="s">
        <v>16</v>
      </c>
      <c r="B12" s="193">
        <f>DO12</f>
        <v>483.3120872000118</v>
      </c>
      <c r="C12" s="194">
        <f>C7</f>
        <v>0</v>
      </c>
      <c r="D12" s="194">
        <f>C12+D7-D10+D8</f>
        <v>0</v>
      </c>
      <c r="E12" s="194">
        <f>D12+E7-E10+E8</f>
        <v>0</v>
      </c>
      <c r="F12" s="194">
        <f>E12+F7-F10+F8</f>
        <v>0</v>
      </c>
      <c r="G12" s="194">
        <f aca="true" t="shared" si="22" ref="G12:L12">F12+G7-G10+G8</f>
        <v>0</v>
      </c>
      <c r="H12" s="194">
        <f>G12+H7-H10+H8</f>
        <v>0</v>
      </c>
      <c r="I12" s="194">
        <f t="shared" si="22"/>
        <v>0</v>
      </c>
      <c r="J12" s="194">
        <f t="shared" si="22"/>
        <v>0</v>
      </c>
      <c r="K12" s="194">
        <f t="shared" si="22"/>
        <v>0</v>
      </c>
      <c r="L12" s="194">
        <f t="shared" si="22"/>
        <v>9914.1424</v>
      </c>
      <c r="M12" s="194">
        <f>L12+M7-M10+M8</f>
        <v>10657.284800000001</v>
      </c>
      <c r="N12" s="194">
        <f>M12+N7-N10+N8</f>
        <v>10657.284800000001</v>
      </c>
      <c r="O12" s="195">
        <f>N12</f>
        <v>10657.284800000001</v>
      </c>
      <c r="P12" s="194">
        <f>O12+P7-P10+P8</f>
        <v>10657.284800000001</v>
      </c>
      <c r="Q12" s="194">
        <f aca="true" t="shared" si="23" ref="Q12:Z12">P12+Q7-Q10+Q8</f>
        <v>10657.284800000001</v>
      </c>
      <c r="R12" s="194">
        <f t="shared" si="23"/>
        <v>10657.284800000001</v>
      </c>
      <c r="S12" s="194">
        <f t="shared" si="23"/>
        <v>10657.284800000001</v>
      </c>
      <c r="T12" s="194">
        <f t="shared" si="23"/>
        <v>10657.284800000001</v>
      </c>
      <c r="U12" s="194">
        <f t="shared" si="23"/>
        <v>10657.284800000001</v>
      </c>
      <c r="V12" s="194">
        <f t="shared" si="23"/>
        <v>10657.284800000001</v>
      </c>
      <c r="W12" s="194">
        <f t="shared" si="23"/>
        <v>10657.284800000001</v>
      </c>
      <c r="X12" s="194">
        <f t="shared" si="23"/>
        <v>10657.284800000001</v>
      </c>
      <c r="Y12" s="194">
        <f t="shared" si="23"/>
        <v>10657.284800000001</v>
      </c>
      <c r="Z12" s="194">
        <f t="shared" si="23"/>
        <v>10657.284800000001</v>
      </c>
      <c r="AA12" s="194">
        <f>Z12+AA7-AA10+AA8</f>
        <v>10657.284800000001</v>
      </c>
      <c r="AB12" s="195">
        <f>AA12</f>
        <v>10657.284800000001</v>
      </c>
      <c r="AC12" s="194">
        <f>AB12+AC7-AC10+AC8</f>
        <v>10657.284800000001</v>
      </c>
      <c r="AD12" s="194">
        <f aca="true" t="shared" si="24" ref="AD12:AN12">AC12+AD7-AD10+AD8</f>
        <v>10657.284800000001</v>
      </c>
      <c r="AE12" s="194">
        <f t="shared" si="24"/>
        <v>10657.284800000001</v>
      </c>
      <c r="AF12" s="194">
        <f t="shared" si="24"/>
        <v>10657.284800000001</v>
      </c>
      <c r="AG12" s="194">
        <f t="shared" si="24"/>
        <v>10657.284800000001</v>
      </c>
      <c r="AH12" s="194">
        <f t="shared" si="24"/>
        <v>10657.284800000001</v>
      </c>
      <c r="AI12" s="194">
        <f t="shared" si="24"/>
        <v>10657.284800000001</v>
      </c>
      <c r="AJ12" s="194">
        <f t="shared" si="24"/>
        <v>10657.284800000001</v>
      </c>
      <c r="AK12" s="194">
        <f t="shared" si="24"/>
        <v>12082.802180000002</v>
      </c>
      <c r="AL12" s="194">
        <f t="shared" si="24"/>
        <v>11921.698150933336</v>
      </c>
      <c r="AM12" s="194">
        <f t="shared" si="24"/>
        <v>11760.59412186667</v>
      </c>
      <c r="AN12" s="194">
        <f t="shared" si="24"/>
        <v>11599.490092800004</v>
      </c>
      <c r="AO12" s="195">
        <f>AN12</f>
        <v>11599.490092800004</v>
      </c>
      <c r="AP12" s="194">
        <f>AO12+AP7-AP10+AP8</f>
        <v>11438.386063733338</v>
      </c>
      <c r="AQ12" s="194">
        <f aca="true" t="shared" si="25" ref="AQ12:BA12">AP12+AQ7-AQ10+AQ8</f>
        <v>11277.282034666672</v>
      </c>
      <c r="AR12" s="194">
        <f t="shared" si="25"/>
        <v>11116.178005600006</v>
      </c>
      <c r="AS12" s="194">
        <f t="shared" si="25"/>
        <v>10955.07397653334</v>
      </c>
      <c r="AT12" s="194">
        <f t="shared" si="25"/>
        <v>10793.969947466674</v>
      </c>
      <c r="AU12" s="194">
        <f t="shared" si="25"/>
        <v>10632.865918400008</v>
      </c>
      <c r="AV12" s="194">
        <f t="shared" si="25"/>
        <v>10471.761889333342</v>
      </c>
      <c r="AW12" s="194">
        <f t="shared" si="25"/>
        <v>10310.657860266676</v>
      </c>
      <c r="AX12" s="194">
        <f t="shared" si="25"/>
        <v>10149.55383120001</v>
      </c>
      <c r="AY12" s="194">
        <f t="shared" si="25"/>
        <v>9988.449802133344</v>
      </c>
      <c r="AZ12" s="194">
        <f t="shared" si="25"/>
        <v>9827.345773066678</v>
      </c>
      <c r="BA12" s="194">
        <f t="shared" si="25"/>
        <v>9666.241744000012</v>
      </c>
      <c r="BB12" s="195">
        <f>BA12</f>
        <v>9666.241744000012</v>
      </c>
      <c r="BC12" s="194">
        <f>BB12+BC7-BC10+BC8</f>
        <v>9505.137714933346</v>
      </c>
      <c r="BD12" s="194">
        <f aca="true" t="shared" si="26" ref="BD12:BN12">BC12+BD7-BD10+BD8</f>
        <v>9344.03368586668</v>
      </c>
      <c r="BE12" s="194">
        <f t="shared" si="26"/>
        <v>9182.929656800014</v>
      </c>
      <c r="BF12" s="194">
        <f t="shared" si="26"/>
        <v>9021.825627733348</v>
      </c>
      <c r="BG12" s="194">
        <f t="shared" si="26"/>
        <v>8860.721598666682</v>
      </c>
      <c r="BH12" s="194">
        <f t="shared" si="26"/>
        <v>8699.617569600015</v>
      </c>
      <c r="BI12" s="194">
        <f t="shared" si="26"/>
        <v>8538.51354053335</v>
      </c>
      <c r="BJ12" s="194">
        <f t="shared" si="26"/>
        <v>8377.409511466683</v>
      </c>
      <c r="BK12" s="194">
        <f t="shared" si="26"/>
        <v>8216.305482400017</v>
      </c>
      <c r="BL12" s="194">
        <f t="shared" si="26"/>
        <v>8055.20145333335</v>
      </c>
      <c r="BM12" s="194">
        <f t="shared" si="26"/>
        <v>7894.097424266683</v>
      </c>
      <c r="BN12" s="194">
        <f t="shared" si="26"/>
        <v>7732.9933952000165</v>
      </c>
      <c r="BO12" s="195">
        <f>BN12</f>
        <v>7732.9933952000165</v>
      </c>
      <c r="BP12" s="194">
        <f aca="true" t="shared" si="27" ref="BP12:CA12">BO12+BP7-BP10+BP8</f>
        <v>7571.8893661333495</v>
      </c>
      <c r="BQ12" s="194">
        <f t="shared" si="27"/>
        <v>7410.785337066683</v>
      </c>
      <c r="BR12" s="194">
        <f t="shared" si="27"/>
        <v>7249.681308000016</v>
      </c>
      <c r="BS12" s="194">
        <f t="shared" si="27"/>
        <v>7088.577278933349</v>
      </c>
      <c r="BT12" s="194">
        <f t="shared" si="27"/>
        <v>6927.473249866682</v>
      </c>
      <c r="BU12" s="194">
        <f t="shared" si="27"/>
        <v>6766.369220800015</v>
      </c>
      <c r="BV12" s="194">
        <f t="shared" si="27"/>
        <v>6605.265191733348</v>
      </c>
      <c r="BW12" s="194">
        <f t="shared" si="27"/>
        <v>6444.161162666681</v>
      </c>
      <c r="BX12" s="194">
        <f t="shared" si="27"/>
        <v>6283.057133600014</v>
      </c>
      <c r="BY12" s="194">
        <f t="shared" si="27"/>
        <v>6121.953104533347</v>
      </c>
      <c r="BZ12" s="194">
        <f t="shared" si="27"/>
        <v>5960.84907546668</v>
      </c>
      <c r="CA12" s="194">
        <f t="shared" si="27"/>
        <v>5799.745046400013</v>
      </c>
      <c r="CB12" s="195">
        <f>CA12</f>
        <v>5799.745046400013</v>
      </c>
      <c r="CC12" s="194">
        <f aca="true" t="shared" si="28" ref="CC12:CN12">CB12+CC7-CC10+CC8</f>
        <v>5638.641017333346</v>
      </c>
      <c r="CD12" s="194">
        <f t="shared" si="28"/>
        <v>5477.536988266679</v>
      </c>
      <c r="CE12" s="194">
        <f t="shared" si="28"/>
        <v>5316.432959200012</v>
      </c>
      <c r="CF12" s="194">
        <f t="shared" si="28"/>
        <v>5155.328930133345</v>
      </c>
      <c r="CG12" s="194">
        <f t="shared" si="28"/>
        <v>4994.224901066678</v>
      </c>
      <c r="CH12" s="194">
        <f t="shared" si="28"/>
        <v>4833.120872000011</v>
      </c>
      <c r="CI12" s="194">
        <f t="shared" si="28"/>
        <v>4672.016842933344</v>
      </c>
      <c r="CJ12" s="194">
        <f t="shared" si="28"/>
        <v>4510.912813866677</v>
      </c>
      <c r="CK12" s="194">
        <f t="shared" si="28"/>
        <v>4349.8087848000105</v>
      </c>
      <c r="CL12" s="194">
        <f t="shared" si="28"/>
        <v>4188.7047557333435</v>
      </c>
      <c r="CM12" s="194">
        <f t="shared" si="28"/>
        <v>4027.600726666677</v>
      </c>
      <c r="CN12" s="194">
        <f t="shared" si="28"/>
        <v>3866.4966976000105</v>
      </c>
      <c r="CO12" s="195">
        <f>CN12</f>
        <v>3866.4966976000105</v>
      </c>
      <c r="CP12" s="194">
        <f aca="true" t="shared" si="29" ref="CP12:DA12">CO12+CP7-CP10+CP8</f>
        <v>3705.392668533344</v>
      </c>
      <c r="CQ12" s="194">
        <f t="shared" si="29"/>
        <v>3544.2886394666775</v>
      </c>
      <c r="CR12" s="194">
        <f t="shared" si="29"/>
        <v>3383.184610400011</v>
      </c>
      <c r="CS12" s="194">
        <f t="shared" si="29"/>
        <v>3222.0805813333445</v>
      </c>
      <c r="CT12" s="194">
        <f t="shared" si="29"/>
        <v>3060.976552266678</v>
      </c>
      <c r="CU12" s="194">
        <f t="shared" si="29"/>
        <v>2899.8725232000115</v>
      </c>
      <c r="CV12" s="194">
        <f t="shared" si="29"/>
        <v>2738.768494133345</v>
      </c>
      <c r="CW12" s="194">
        <f t="shared" si="29"/>
        <v>2577.6644650666785</v>
      </c>
      <c r="CX12" s="194">
        <f t="shared" si="29"/>
        <v>2416.560436000012</v>
      </c>
      <c r="CY12" s="194">
        <f t="shared" si="29"/>
        <v>2255.4564069333455</v>
      </c>
      <c r="CZ12" s="194">
        <f t="shared" si="29"/>
        <v>2094.352377866679</v>
      </c>
      <c r="DA12" s="194">
        <f t="shared" si="29"/>
        <v>1933.2483488000123</v>
      </c>
      <c r="DB12" s="195">
        <f>DA12</f>
        <v>1933.2483488000123</v>
      </c>
      <c r="DC12" s="194">
        <f aca="true" t="shared" si="30" ref="DC12:DN12">DB12+DC7-DC10+DC8</f>
        <v>1772.1443197333456</v>
      </c>
      <c r="DD12" s="194">
        <f t="shared" si="30"/>
        <v>1611.0402906666789</v>
      </c>
      <c r="DE12" s="194">
        <f t="shared" si="30"/>
        <v>1449.9362616000121</v>
      </c>
      <c r="DF12" s="194">
        <f t="shared" si="30"/>
        <v>1288.8322325333454</v>
      </c>
      <c r="DG12" s="194">
        <f t="shared" si="30"/>
        <v>1127.7282034666787</v>
      </c>
      <c r="DH12" s="194">
        <f t="shared" si="30"/>
        <v>966.624174400012</v>
      </c>
      <c r="DI12" s="194">
        <f t="shared" si="30"/>
        <v>805.5201453333452</v>
      </c>
      <c r="DJ12" s="194">
        <f t="shared" si="30"/>
        <v>644.4161162666785</v>
      </c>
      <c r="DK12" s="194">
        <f t="shared" si="30"/>
        <v>483.3120872000118</v>
      </c>
      <c r="DL12" s="194">
        <f t="shared" si="30"/>
        <v>483.3120872000118</v>
      </c>
      <c r="DM12" s="194">
        <f t="shared" si="30"/>
        <v>483.3120872000118</v>
      </c>
      <c r="DN12" s="194">
        <f t="shared" si="30"/>
        <v>483.3120872000118</v>
      </c>
      <c r="DO12" s="195">
        <f>DN12</f>
        <v>483.3120872000118</v>
      </c>
      <c r="DP12" s="200">
        <f>MAX(C12:BO12)</f>
        <v>12082.802180000002</v>
      </c>
    </row>
    <row r="13" spans="1:120" ht="12.75" hidden="1">
      <c r="A13" s="177" t="s">
        <v>78</v>
      </c>
      <c r="B13" s="177">
        <f>Исх!C42*12-Исх!C43</f>
        <v>75</v>
      </c>
      <c r="DP13" s="180"/>
    </row>
    <row r="14" ht="12.75" hidden="1"/>
    <row r="15" ht="12.75" hidden="1">
      <c r="A15" s="263" t="s">
        <v>241</v>
      </c>
    </row>
    <row r="16" ht="12.75" hidden="1" outlineLevel="1">
      <c r="A16" s="264">
        <f>B7+B8-B10</f>
        <v>483.31208719999995</v>
      </c>
    </row>
    <row r="17" ht="12.75" hidden="1" outlineLevel="1">
      <c r="A17" s="264">
        <f>B9-B8-B11</f>
        <v>0</v>
      </c>
    </row>
    <row r="18" ht="12.75" hidden="1" collapsed="1"/>
    <row r="19" spans="1:119" ht="12.75">
      <c r="A19" s="289" t="s">
        <v>270</v>
      </c>
      <c r="B19" s="290"/>
      <c r="DB19" s="177"/>
      <c r="DO19" s="177"/>
    </row>
    <row r="20" spans="1:119" ht="15.75" customHeight="1">
      <c r="A20" s="186" t="s">
        <v>11</v>
      </c>
      <c r="B20" s="279">
        <f>Исх!C41</f>
        <v>0.07</v>
      </c>
      <c r="C20" s="371">
        <v>2013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>
        <v>2014</v>
      </c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>
        <v>2015</v>
      </c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>
        <v>2016</v>
      </c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>
        <v>2017</v>
      </c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>
        <v>2018</v>
      </c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>
        <v>2019</v>
      </c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1"/>
      <c r="CO20" s="371"/>
      <c r="CP20" s="371">
        <v>2020</v>
      </c>
      <c r="CQ20" s="371"/>
      <c r="CR20" s="371"/>
      <c r="CS20" s="371"/>
      <c r="CT20" s="371"/>
      <c r="CU20" s="371"/>
      <c r="CV20" s="371"/>
      <c r="CW20" s="371"/>
      <c r="CX20" s="371"/>
      <c r="CY20" s="371"/>
      <c r="CZ20" s="371"/>
      <c r="DA20" s="371"/>
      <c r="DB20" s="371"/>
      <c r="DC20" s="371">
        <v>2021</v>
      </c>
      <c r="DD20" s="371"/>
      <c r="DE20" s="371"/>
      <c r="DF20" s="371"/>
      <c r="DG20" s="371"/>
      <c r="DH20" s="371"/>
      <c r="DI20" s="371"/>
      <c r="DJ20" s="371"/>
      <c r="DK20" s="371"/>
      <c r="DL20" s="371"/>
      <c r="DM20" s="371"/>
      <c r="DN20" s="371"/>
      <c r="DO20" s="371"/>
    </row>
    <row r="21" spans="1:119" s="192" customFormat="1" ht="15" customHeight="1">
      <c r="A21" s="188" t="s">
        <v>9</v>
      </c>
      <c r="B21" s="189" t="s">
        <v>89</v>
      </c>
      <c r="C21" s="190">
        <v>1</v>
      </c>
      <c r="D21" s="190">
        <v>2</v>
      </c>
      <c r="E21" s="190">
        <f aca="true" t="shared" si="31" ref="E21:N21">D21+1</f>
        <v>3</v>
      </c>
      <c r="F21" s="190">
        <f t="shared" si="31"/>
        <v>4</v>
      </c>
      <c r="G21" s="190">
        <f t="shared" si="31"/>
        <v>5</v>
      </c>
      <c r="H21" s="190">
        <f t="shared" si="31"/>
        <v>6</v>
      </c>
      <c r="I21" s="190">
        <f t="shared" si="31"/>
        <v>7</v>
      </c>
      <c r="J21" s="190">
        <f t="shared" si="31"/>
        <v>8</v>
      </c>
      <c r="K21" s="190">
        <f t="shared" si="31"/>
        <v>9</v>
      </c>
      <c r="L21" s="190">
        <f t="shared" si="31"/>
        <v>10</v>
      </c>
      <c r="M21" s="190">
        <f t="shared" si="31"/>
        <v>11</v>
      </c>
      <c r="N21" s="190">
        <f t="shared" si="31"/>
        <v>12</v>
      </c>
      <c r="O21" s="191" t="s">
        <v>0</v>
      </c>
      <c r="P21" s="190">
        <v>1</v>
      </c>
      <c r="Q21" s="190">
        <v>2</v>
      </c>
      <c r="R21" s="190">
        <f aca="true" t="shared" si="32" ref="R21:AA21">Q21+1</f>
        <v>3</v>
      </c>
      <c r="S21" s="190">
        <f t="shared" si="32"/>
        <v>4</v>
      </c>
      <c r="T21" s="190">
        <f t="shared" si="32"/>
        <v>5</v>
      </c>
      <c r="U21" s="190">
        <f t="shared" si="32"/>
        <v>6</v>
      </c>
      <c r="V21" s="190">
        <f t="shared" si="32"/>
        <v>7</v>
      </c>
      <c r="W21" s="190">
        <f t="shared" si="32"/>
        <v>8</v>
      </c>
      <c r="X21" s="190">
        <f t="shared" si="32"/>
        <v>9</v>
      </c>
      <c r="Y21" s="190">
        <f t="shared" si="32"/>
        <v>10</v>
      </c>
      <c r="Z21" s="190">
        <f t="shared" si="32"/>
        <v>11</v>
      </c>
      <c r="AA21" s="190">
        <f t="shared" si="32"/>
        <v>12</v>
      </c>
      <c r="AB21" s="191" t="str">
        <f>AB6</f>
        <v>Итого</v>
      </c>
      <c r="AC21" s="190">
        <v>1</v>
      </c>
      <c r="AD21" s="190">
        <v>2</v>
      </c>
      <c r="AE21" s="190">
        <f aca="true" t="shared" si="33" ref="AE21:AN21">AD21+1</f>
        <v>3</v>
      </c>
      <c r="AF21" s="190">
        <f t="shared" si="33"/>
        <v>4</v>
      </c>
      <c r="AG21" s="190">
        <f t="shared" si="33"/>
        <v>5</v>
      </c>
      <c r="AH21" s="190">
        <f t="shared" si="33"/>
        <v>6</v>
      </c>
      <c r="AI21" s="190">
        <f t="shared" si="33"/>
        <v>7</v>
      </c>
      <c r="AJ21" s="190">
        <f t="shared" si="33"/>
        <v>8</v>
      </c>
      <c r="AK21" s="190">
        <f t="shared" si="33"/>
        <v>9</v>
      </c>
      <c r="AL21" s="190">
        <f t="shared" si="33"/>
        <v>10</v>
      </c>
      <c r="AM21" s="190">
        <f t="shared" si="33"/>
        <v>11</v>
      </c>
      <c r="AN21" s="190">
        <f t="shared" si="33"/>
        <v>12</v>
      </c>
      <c r="AO21" s="191" t="str">
        <f>AO6</f>
        <v>Итого</v>
      </c>
      <c r="AP21" s="190">
        <v>1</v>
      </c>
      <c r="AQ21" s="190">
        <v>2</v>
      </c>
      <c r="AR21" s="190">
        <f aca="true" t="shared" si="34" ref="AR21:BA21">AQ21+1</f>
        <v>3</v>
      </c>
      <c r="AS21" s="190">
        <f t="shared" si="34"/>
        <v>4</v>
      </c>
      <c r="AT21" s="190">
        <f t="shared" si="34"/>
        <v>5</v>
      </c>
      <c r="AU21" s="190">
        <f t="shared" si="34"/>
        <v>6</v>
      </c>
      <c r="AV21" s="190">
        <f t="shared" si="34"/>
        <v>7</v>
      </c>
      <c r="AW21" s="190">
        <f t="shared" si="34"/>
        <v>8</v>
      </c>
      <c r="AX21" s="190">
        <f t="shared" si="34"/>
        <v>9</v>
      </c>
      <c r="AY21" s="190">
        <f t="shared" si="34"/>
        <v>10</v>
      </c>
      <c r="AZ21" s="190">
        <f t="shared" si="34"/>
        <v>11</v>
      </c>
      <c r="BA21" s="190">
        <f t="shared" si="34"/>
        <v>12</v>
      </c>
      <c r="BB21" s="191" t="str">
        <f>BB6</f>
        <v>Итого</v>
      </c>
      <c r="BC21" s="190">
        <v>1</v>
      </c>
      <c r="BD21" s="190">
        <v>2</v>
      </c>
      <c r="BE21" s="190">
        <f aca="true" t="shared" si="35" ref="BE21:BN21">BD21+1</f>
        <v>3</v>
      </c>
      <c r="BF21" s="190">
        <f t="shared" si="35"/>
        <v>4</v>
      </c>
      <c r="BG21" s="190">
        <f t="shared" si="35"/>
        <v>5</v>
      </c>
      <c r="BH21" s="190">
        <f t="shared" si="35"/>
        <v>6</v>
      </c>
      <c r="BI21" s="190">
        <f t="shared" si="35"/>
        <v>7</v>
      </c>
      <c r="BJ21" s="190">
        <f t="shared" si="35"/>
        <v>8</v>
      </c>
      <c r="BK21" s="190">
        <f t="shared" si="35"/>
        <v>9</v>
      </c>
      <c r="BL21" s="190">
        <f t="shared" si="35"/>
        <v>10</v>
      </c>
      <c r="BM21" s="190">
        <f t="shared" si="35"/>
        <v>11</v>
      </c>
      <c r="BN21" s="190">
        <f t="shared" si="35"/>
        <v>12</v>
      </c>
      <c r="BO21" s="191" t="str">
        <f>BO6</f>
        <v>Итого</v>
      </c>
      <c r="BP21" s="190">
        <v>1</v>
      </c>
      <c r="BQ21" s="190">
        <v>2</v>
      </c>
      <c r="BR21" s="190">
        <f aca="true" t="shared" si="36" ref="BR21:CA21">BQ21+1</f>
        <v>3</v>
      </c>
      <c r="BS21" s="190">
        <f t="shared" si="36"/>
        <v>4</v>
      </c>
      <c r="BT21" s="190">
        <f t="shared" si="36"/>
        <v>5</v>
      </c>
      <c r="BU21" s="190">
        <f t="shared" si="36"/>
        <v>6</v>
      </c>
      <c r="BV21" s="190">
        <f t="shared" si="36"/>
        <v>7</v>
      </c>
      <c r="BW21" s="190">
        <f t="shared" si="36"/>
        <v>8</v>
      </c>
      <c r="BX21" s="190">
        <f t="shared" si="36"/>
        <v>9</v>
      </c>
      <c r="BY21" s="190">
        <f t="shared" si="36"/>
        <v>10</v>
      </c>
      <c r="BZ21" s="190">
        <f t="shared" si="36"/>
        <v>11</v>
      </c>
      <c r="CA21" s="190">
        <f t="shared" si="36"/>
        <v>12</v>
      </c>
      <c r="CB21" s="191" t="str">
        <f>CB6</f>
        <v>Итого</v>
      </c>
      <c r="CC21" s="190">
        <v>1</v>
      </c>
      <c r="CD21" s="190">
        <v>2</v>
      </c>
      <c r="CE21" s="190">
        <f aca="true" t="shared" si="37" ref="CE21:CN21">CD21+1</f>
        <v>3</v>
      </c>
      <c r="CF21" s="190">
        <f t="shared" si="37"/>
        <v>4</v>
      </c>
      <c r="CG21" s="190">
        <f t="shared" si="37"/>
        <v>5</v>
      </c>
      <c r="CH21" s="190">
        <f t="shared" si="37"/>
        <v>6</v>
      </c>
      <c r="CI21" s="190">
        <f t="shared" si="37"/>
        <v>7</v>
      </c>
      <c r="CJ21" s="190">
        <f t="shared" si="37"/>
        <v>8</v>
      </c>
      <c r="CK21" s="190">
        <f t="shared" si="37"/>
        <v>9</v>
      </c>
      <c r="CL21" s="190">
        <f t="shared" si="37"/>
        <v>10</v>
      </c>
      <c r="CM21" s="190">
        <f t="shared" si="37"/>
        <v>11</v>
      </c>
      <c r="CN21" s="190">
        <f t="shared" si="37"/>
        <v>12</v>
      </c>
      <c r="CO21" s="191" t="str">
        <f>CO6</f>
        <v>Итого</v>
      </c>
      <c r="CP21" s="190">
        <v>1</v>
      </c>
      <c r="CQ21" s="190">
        <f>CP21+1</f>
        <v>2</v>
      </c>
      <c r="CR21" s="190">
        <f aca="true" t="shared" si="38" ref="CR21:DA21">CQ21+1</f>
        <v>3</v>
      </c>
      <c r="CS21" s="190">
        <f t="shared" si="38"/>
        <v>4</v>
      </c>
      <c r="CT21" s="190">
        <f t="shared" si="38"/>
        <v>5</v>
      </c>
      <c r="CU21" s="190">
        <f t="shared" si="38"/>
        <v>6</v>
      </c>
      <c r="CV21" s="190">
        <f t="shared" si="38"/>
        <v>7</v>
      </c>
      <c r="CW21" s="190">
        <f t="shared" si="38"/>
        <v>8</v>
      </c>
      <c r="CX21" s="190">
        <f t="shared" si="38"/>
        <v>9</v>
      </c>
      <c r="CY21" s="190">
        <f t="shared" si="38"/>
        <v>10</v>
      </c>
      <c r="CZ21" s="190">
        <f t="shared" si="38"/>
        <v>11</v>
      </c>
      <c r="DA21" s="190">
        <f t="shared" si="38"/>
        <v>12</v>
      </c>
      <c r="DB21" s="191" t="str">
        <f>DB6</f>
        <v>Итого</v>
      </c>
      <c r="DC21" s="190">
        <v>1</v>
      </c>
      <c r="DD21" s="190">
        <f aca="true" t="shared" si="39" ref="DD21:DN21">DC21+1</f>
        <v>2</v>
      </c>
      <c r="DE21" s="190">
        <f t="shared" si="39"/>
        <v>3</v>
      </c>
      <c r="DF21" s="190">
        <f t="shared" si="39"/>
        <v>4</v>
      </c>
      <c r="DG21" s="190">
        <f t="shared" si="39"/>
        <v>5</v>
      </c>
      <c r="DH21" s="190">
        <f t="shared" si="39"/>
        <v>6</v>
      </c>
      <c r="DI21" s="190">
        <f t="shared" si="39"/>
        <v>7</v>
      </c>
      <c r="DJ21" s="190">
        <f t="shared" si="39"/>
        <v>8</v>
      </c>
      <c r="DK21" s="190">
        <f t="shared" si="39"/>
        <v>9</v>
      </c>
      <c r="DL21" s="190">
        <f t="shared" si="39"/>
        <v>10</v>
      </c>
      <c r="DM21" s="190">
        <f t="shared" si="39"/>
        <v>11</v>
      </c>
      <c r="DN21" s="190">
        <f t="shared" si="39"/>
        <v>12</v>
      </c>
      <c r="DO21" s="191" t="s">
        <v>0</v>
      </c>
    </row>
    <row r="22" spans="1:119" ht="12.75">
      <c r="A22" s="188" t="s">
        <v>106</v>
      </c>
      <c r="B22" s="193">
        <f>O22+AB22+AO22+BB22+BO22+CB22+CO22+DB22+DO22</f>
        <v>10657.284800000001</v>
      </c>
      <c r="C22" s="194">
        <f>C38+C54+C70+C86</f>
        <v>0</v>
      </c>
      <c r="D22" s="194">
        <f aca="true" t="shared" si="40" ref="D22:N22">D38+D54+D70+D86</f>
        <v>0</v>
      </c>
      <c r="E22" s="194">
        <f t="shared" si="40"/>
        <v>0</v>
      </c>
      <c r="F22" s="194">
        <f t="shared" si="40"/>
        <v>0</v>
      </c>
      <c r="G22" s="194">
        <f t="shared" si="40"/>
        <v>0</v>
      </c>
      <c r="H22" s="194">
        <f t="shared" si="40"/>
        <v>0</v>
      </c>
      <c r="I22" s="194">
        <f t="shared" si="40"/>
        <v>0</v>
      </c>
      <c r="J22" s="194">
        <f t="shared" si="40"/>
        <v>0</v>
      </c>
      <c r="K22" s="194">
        <f t="shared" si="40"/>
        <v>0</v>
      </c>
      <c r="L22" s="194">
        <f t="shared" si="40"/>
        <v>9914.1424</v>
      </c>
      <c r="M22" s="194">
        <f t="shared" si="40"/>
        <v>743.1424000000001</v>
      </c>
      <c r="N22" s="194">
        <f t="shared" si="40"/>
        <v>0</v>
      </c>
      <c r="O22" s="195">
        <f>SUM(C22:N22)</f>
        <v>10657.284800000001</v>
      </c>
      <c r="P22" s="194">
        <f>P38+P54+P70+P86</f>
        <v>0</v>
      </c>
      <c r="Q22" s="194">
        <f aca="true" t="shared" si="41" ref="Q22:AA22">Q38+Q54+Q70+Q86</f>
        <v>0</v>
      </c>
      <c r="R22" s="194">
        <f t="shared" si="41"/>
        <v>0</v>
      </c>
      <c r="S22" s="194">
        <f t="shared" si="41"/>
        <v>0</v>
      </c>
      <c r="T22" s="194">
        <f t="shared" si="41"/>
        <v>0</v>
      </c>
      <c r="U22" s="194">
        <f t="shared" si="41"/>
        <v>0</v>
      </c>
      <c r="V22" s="194">
        <f t="shared" si="41"/>
        <v>0</v>
      </c>
      <c r="W22" s="194">
        <f t="shared" si="41"/>
        <v>0</v>
      </c>
      <c r="X22" s="194">
        <f t="shared" si="41"/>
        <v>0</v>
      </c>
      <c r="Y22" s="194">
        <f t="shared" si="41"/>
        <v>0</v>
      </c>
      <c r="Z22" s="194">
        <f t="shared" si="41"/>
        <v>0</v>
      </c>
      <c r="AA22" s="194">
        <f t="shared" si="41"/>
        <v>0</v>
      </c>
      <c r="AB22" s="195">
        <f>SUM(P22:AA22)</f>
        <v>0</v>
      </c>
      <c r="AC22" s="194">
        <f aca="true" t="shared" si="42" ref="AC22:AN22">AC38+AC54+AC70+AC86</f>
        <v>0</v>
      </c>
      <c r="AD22" s="194">
        <f t="shared" si="42"/>
        <v>0</v>
      </c>
      <c r="AE22" s="194">
        <f t="shared" si="42"/>
        <v>0</v>
      </c>
      <c r="AF22" s="194">
        <f t="shared" si="42"/>
        <v>0</v>
      </c>
      <c r="AG22" s="194">
        <f t="shared" si="42"/>
        <v>0</v>
      </c>
      <c r="AH22" s="194">
        <f t="shared" si="42"/>
        <v>0</v>
      </c>
      <c r="AI22" s="194">
        <f t="shared" si="42"/>
        <v>0</v>
      </c>
      <c r="AJ22" s="194">
        <f t="shared" si="42"/>
        <v>0</v>
      </c>
      <c r="AK22" s="194">
        <f t="shared" si="42"/>
        <v>0</v>
      </c>
      <c r="AL22" s="194">
        <f t="shared" si="42"/>
        <v>0</v>
      </c>
      <c r="AM22" s="194">
        <f t="shared" si="42"/>
        <v>0</v>
      </c>
      <c r="AN22" s="194">
        <f t="shared" si="42"/>
        <v>0</v>
      </c>
      <c r="AO22" s="195">
        <f>SUM(AC22:AN22)</f>
        <v>0</v>
      </c>
      <c r="AP22" s="194">
        <f aca="true" t="shared" si="43" ref="AP22:BA22">AP38+AP54+AP70+AP86</f>
        <v>0</v>
      </c>
      <c r="AQ22" s="194">
        <f t="shared" si="43"/>
        <v>0</v>
      </c>
      <c r="AR22" s="194">
        <f t="shared" si="43"/>
        <v>0</v>
      </c>
      <c r="AS22" s="194">
        <f t="shared" si="43"/>
        <v>0</v>
      </c>
      <c r="AT22" s="194">
        <f t="shared" si="43"/>
        <v>0</v>
      </c>
      <c r="AU22" s="194">
        <f t="shared" si="43"/>
        <v>0</v>
      </c>
      <c r="AV22" s="194">
        <f t="shared" si="43"/>
        <v>0</v>
      </c>
      <c r="AW22" s="194">
        <f t="shared" si="43"/>
        <v>0</v>
      </c>
      <c r="AX22" s="194">
        <f t="shared" si="43"/>
        <v>0</v>
      </c>
      <c r="AY22" s="194">
        <f t="shared" si="43"/>
        <v>0</v>
      </c>
      <c r="AZ22" s="194">
        <f t="shared" si="43"/>
        <v>0</v>
      </c>
      <c r="BA22" s="194">
        <f t="shared" si="43"/>
        <v>0</v>
      </c>
      <c r="BB22" s="195">
        <f>SUM(AP22:BA22)</f>
        <v>0</v>
      </c>
      <c r="BC22" s="194">
        <f aca="true" t="shared" si="44" ref="BC22:BN22">BC38+BC54+BC70+BC86</f>
        <v>0</v>
      </c>
      <c r="BD22" s="194">
        <f t="shared" si="44"/>
        <v>0</v>
      </c>
      <c r="BE22" s="194">
        <f t="shared" si="44"/>
        <v>0</v>
      </c>
      <c r="BF22" s="194">
        <f t="shared" si="44"/>
        <v>0</v>
      </c>
      <c r="BG22" s="194">
        <f t="shared" si="44"/>
        <v>0</v>
      </c>
      <c r="BH22" s="194">
        <f t="shared" si="44"/>
        <v>0</v>
      </c>
      <c r="BI22" s="194">
        <f t="shared" si="44"/>
        <v>0</v>
      </c>
      <c r="BJ22" s="194">
        <f t="shared" si="44"/>
        <v>0</v>
      </c>
      <c r="BK22" s="194">
        <f t="shared" si="44"/>
        <v>0</v>
      </c>
      <c r="BL22" s="194">
        <f t="shared" si="44"/>
        <v>0</v>
      </c>
      <c r="BM22" s="194">
        <f t="shared" si="44"/>
        <v>0</v>
      </c>
      <c r="BN22" s="194">
        <f t="shared" si="44"/>
        <v>0</v>
      </c>
      <c r="BO22" s="195">
        <f>SUM(BC22:BN22)</f>
        <v>0</v>
      </c>
      <c r="BP22" s="194">
        <f aca="true" t="shared" si="45" ref="BP22:CA22">BP38+BP54+BP70+BP86</f>
        <v>0</v>
      </c>
      <c r="BQ22" s="194">
        <f t="shared" si="45"/>
        <v>0</v>
      </c>
      <c r="BR22" s="194">
        <f t="shared" si="45"/>
        <v>0</v>
      </c>
      <c r="BS22" s="194">
        <f t="shared" si="45"/>
        <v>0</v>
      </c>
      <c r="BT22" s="194">
        <f t="shared" si="45"/>
        <v>0</v>
      </c>
      <c r="BU22" s="194">
        <f t="shared" si="45"/>
        <v>0</v>
      </c>
      <c r="BV22" s="194">
        <f t="shared" si="45"/>
        <v>0</v>
      </c>
      <c r="BW22" s="194">
        <f t="shared" si="45"/>
        <v>0</v>
      </c>
      <c r="BX22" s="194">
        <f t="shared" si="45"/>
        <v>0</v>
      </c>
      <c r="BY22" s="194">
        <f t="shared" si="45"/>
        <v>0</v>
      </c>
      <c r="BZ22" s="194">
        <f t="shared" si="45"/>
        <v>0</v>
      </c>
      <c r="CA22" s="194">
        <f t="shared" si="45"/>
        <v>0</v>
      </c>
      <c r="CB22" s="195">
        <f>SUM(BP22:CA22)</f>
        <v>0</v>
      </c>
      <c r="CC22" s="194">
        <f aca="true" t="shared" si="46" ref="CC22:CN22">CC38+CC54+CC70+CC86</f>
        <v>0</v>
      </c>
      <c r="CD22" s="194">
        <f t="shared" si="46"/>
        <v>0</v>
      </c>
      <c r="CE22" s="194">
        <f t="shared" si="46"/>
        <v>0</v>
      </c>
      <c r="CF22" s="194">
        <f t="shared" si="46"/>
        <v>0</v>
      </c>
      <c r="CG22" s="194">
        <f t="shared" si="46"/>
        <v>0</v>
      </c>
      <c r="CH22" s="194">
        <f t="shared" si="46"/>
        <v>0</v>
      </c>
      <c r="CI22" s="194">
        <f t="shared" si="46"/>
        <v>0</v>
      </c>
      <c r="CJ22" s="194">
        <f t="shared" si="46"/>
        <v>0</v>
      </c>
      <c r="CK22" s="194">
        <f t="shared" si="46"/>
        <v>0</v>
      </c>
      <c r="CL22" s="194">
        <f t="shared" si="46"/>
        <v>0</v>
      </c>
      <c r="CM22" s="194">
        <f t="shared" si="46"/>
        <v>0</v>
      </c>
      <c r="CN22" s="194">
        <f t="shared" si="46"/>
        <v>0</v>
      </c>
      <c r="CO22" s="195">
        <f>SUM(CC22:CN22)</f>
        <v>0</v>
      </c>
      <c r="CP22" s="194">
        <f aca="true" t="shared" si="47" ref="CP22:DA22">CP38+CP54+CP70+CP86</f>
        <v>0</v>
      </c>
      <c r="CQ22" s="194">
        <f t="shared" si="47"/>
        <v>0</v>
      </c>
      <c r="CR22" s="194">
        <f t="shared" si="47"/>
        <v>0</v>
      </c>
      <c r="CS22" s="194">
        <f t="shared" si="47"/>
        <v>0</v>
      </c>
      <c r="CT22" s="194">
        <f t="shared" si="47"/>
        <v>0</v>
      </c>
      <c r="CU22" s="194">
        <f t="shared" si="47"/>
        <v>0</v>
      </c>
      <c r="CV22" s="194">
        <f t="shared" si="47"/>
        <v>0</v>
      </c>
      <c r="CW22" s="194">
        <f t="shared" si="47"/>
        <v>0</v>
      </c>
      <c r="CX22" s="194">
        <f t="shared" si="47"/>
        <v>0</v>
      </c>
      <c r="CY22" s="194">
        <f t="shared" si="47"/>
        <v>0</v>
      </c>
      <c r="CZ22" s="194">
        <f t="shared" si="47"/>
        <v>0</v>
      </c>
      <c r="DA22" s="194">
        <f t="shared" si="47"/>
        <v>0</v>
      </c>
      <c r="DB22" s="195">
        <f>SUM(CP22:DA22)</f>
        <v>0</v>
      </c>
      <c r="DC22" s="194">
        <f aca="true" t="shared" si="48" ref="DC22:DN22">DC38+DC54+DC70+DC86</f>
        <v>0</v>
      </c>
      <c r="DD22" s="194">
        <f t="shared" si="48"/>
        <v>0</v>
      </c>
      <c r="DE22" s="194">
        <f t="shared" si="48"/>
        <v>0</v>
      </c>
      <c r="DF22" s="194">
        <f t="shared" si="48"/>
        <v>0</v>
      </c>
      <c r="DG22" s="194">
        <f t="shared" si="48"/>
        <v>0</v>
      </c>
      <c r="DH22" s="194">
        <f t="shared" si="48"/>
        <v>0</v>
      </c>
      <c r="DI22" s="194">
        <f t="shared" si="48"/>
        <v>0</v>
      </c>
      <c r="DJ22" s="194">
        <f t="shared" si="48"/>
        <v>0</v>
      </c>
      <c r="DK22" s="194">
        <f t="shared" si="48"/>
        <v>0</v>
      </c>
      <c r="DL22" s="194">
        <f t="shared" si="48"/>
        <v>0</v>
      </c>
      <c r="DM22" s="194">
        <f t="shared" si="48"/>
        <v>0</v>
      </c>
      <c r="DN22" s="194">
        <f t="shared" si="48"/>
        <v>0</v>
      </c>
      <c r="DO22" s="195">
        <f>SUM(DC22:DN22)</f>
        <v>0</v>
      </c>
    </row>
    <row r="23" spans="1:119" s="197" customFormat="1" ht="20.25" customHeight="1">
      <c r="A23" s="188" t="s">
        <v>31</v>
      </c>
      <c r="B23" s="193">
        <f>O23+AB23+AO23+BB23+BO23+CB23+CO23+DB23+DO23</f>
        <v>373.0049680000001</v>
      </c>
      <c r="C23" s="194">
        <f aca="true" t="shared" si="49" ref="C23:N27">C39+C55+C71+C87</f>
        <v>0</v>
      </c>
      <c r="D23" s="194">
        <f t="shared" si="49"/>
        <v>0</v>
      </c>
      <c r="E23" s="194">
        <f t="shared" si="49"/>
        <v>0</v>
      </c>
      <c r="F23" s="194">
        <f t="shared" si="49"/>
        <v>0</v>
      </c>
      <c r="G23" s="194">
        <f t="shared" si="49"/>
        <v>0</v>
      </c>
      <c r="H23" s="194">
        <f t="shared" si="49"/>
        <v>0</v>
      </c>
      <c r="I23" s="194">
        <f t="shared" si="49"/>
        <v>0</v>
      </c>
      <c r="J23" s="194">
        <f t="shared" si="49"/>
        <v>0</v>
      </c>
      <c r="K23" s="194">
        <f t="shared" si="49"/>
        <v>0</v>
      </c>
      <c r="L23" s="194">
        <f t="shared" si="49"/>
        <v>0</v>
      </c>
      <c r="M23" s="194">
        <f t="shared" si="49"/>
        <v>0</v>
      </c>
      <c r="N23" s="194">
        <f t="shared" si="49"/>
        <v>0</v>
      </c>
      <c r="O23" s="195">
        <f>SUM(C23:N23)</f>
        <v>0</v>
      </c>
      <c r="P23" s="194">
        <f aca="true" t="shared" si="50" ref="P23:AA23">P39+P55+P71+P87</f>
        <v>0</v>
      </c>
      <c r="Q23" s="194">
        <f t="shared" si="50"/>
        <v>0</v>
      </c>
      <c r="R23" s="194">
        <f t="shared" si="50"/>
        <v>0</v>
      </c>
      <c r="S23" s="194">
        <f t="shared" si="50"/>
        <v>346.99498400000004</v>
      </c>
      <c r="T23" s="194">
        <f t="shared" si="50"/>
        <v>26.009984000000006</v>
      </c>
      <c r="U23" s="194">
        <f t="shared" si="50"/>
        <v>0</v>
      </c>
      <c r="V23" s="194">
        <f t="shared" si="50"/>
        <v>0</v>
      </c>
      <c r="W23" s="194">
        <f t="shared" si="50"/>
        <v>0</v>
      </c>
      <c r="X23" s="194">
        <f t="shared" si="50"/>
        <v>0</v>
      </c>
      <c r="Y23" s="194">
        <f t="shared" si="50"/>
        <v>0</v>
      </c>
      <c r="Z23" s="194">
        <f t="shared" si="50"/>
        <v>0</v>
      </c>
      <c r="AA23" s="194">
        <f t="shared" si="50"/>
        <v>0</v>
      </c>
      <c r="AB23" s="195">
        <f>SUM(P23:AA23)</f>
        <v>373.0049680000001</v>
      </c>
      <c r="AC23" s="194">
        <f aca="true" t="shared" si="51" ref="AC23:AN23">AC39+AC55+AC71+AC87</f>
        <v>0</v>
      </c>
      <c r="AD23" s="194">
        <f t="shared" si="51"/>
        <v>0</v>
      </c>
      <c r="AE23" s="194">
        <f t="shared" si="51"/>
        <v>0</v>
      </c>
      <c r="AF23" s="194">
        <f t="shared" si="51"/>
        <v>0</v>
      </c>
      <c r="AG23" s="194">
        <f t="shared" si="51"/>
        <v>0</v>
      </c>
      <c r="AH23" s="194">
        <f t="shared" si="51"/>
        <v>0</v>
      </c>
      <c r="AI23" s="194">
        <f t="shared" si="51"/>
        <v>0</v>
      </c>
      <c r="AJ23" s="194">
        <f t="shared" si="51"/>
        <v>0</v>
      </c>
      <c r="AK23" s="194">
        <f t="shared" si="51"/>
        <v>0</v>
      </c>
      <c r="AL23" s="194">
        <f t="shared" si="51"/>
        <v>0</v>
      </c>
      <c r="AM23" s="194">
        <f t="shared" si="51"/>
        <v>0</v>
      </c>
      <c r="AN23" s="194">
        <f t="shared" si="51"/>
        <v>0</v>
      </c>
      <c r="AO23" s="195">
        <f>SUM(AC23:AN23)</f>
        <v>0</v>
      </c>
      <c r="AP23" s="194">
        <f aca="true" t="shared" si="52" ref="AP23:BA23">AP39+AP55+AP71+AP87</f>
        <v>0</v>
      </c>
      <c r="AQ23" s="194">
        <f t="shared" si="52"/>
        <v>0</v>
      </c>
      <c r="AR23" s="194">
        <f t="shared" si="52"/>
        <v>0</v>
      </c>
      <c r="AS23" s="194">
        <f t="shared" si="52"/>
        <v>0</v>
      </c>
      <c r="AT23" s="194">
        <f t="shared" si="52"/>
        <v>0</v>
      </c>
      <c r="AU23" s="194">
        <f t="shared" si="52"/>
        <v>0</v>
      </c>
      <c r="AV23" s="194">
        <f t="shared" si="52"/>
        <v>0</v>
      </c>
      <c r="AW23" s="194">
        <f t="shared" si="52"/>
        <v>0</v>
      </c>
      <c r="AX23" s="194">
        <f t="shared" si="52"/>
        <v>0</v>
      </c>
      <c r="AY23" s="194">
        <f t="shared" si="52"/>
        <v>0</v>
      </c>
      <c r="AZ23" s="194">
        <f t="shared" si="52"/>
        <v>0</v>
      </c>
      <c r="BA23" s="194">
        <f t="shared" si="52"/>
        <v>0</v>
      </c>
      <c r="BB23" s="195">
        <f>SUM(AP23:BA23)</f>
        <v>0</v>
      </c>
      <c r="BC23" s="194">
        <f aca="true" t="shared" si="53" ref="BC23:BN23">BC39+BC55+BC71+BC87</f>
        <v>0</v>
      </c>
      <c r="BD23" s="194">
        <f t="shared" si="53"/>
        <v>0</v>
      </c>
      <c r="BE23" s="194">
        <f t="shared" si="53"/>
        <v>0</v>
      </c>
      <c r="BF23" s="194">
        <f t="shared" si="53"/>
        <v>0</v>
      </c>
      <c r="BG23" s="194">
        <f t="shared" si="53"/>
        <v>0</v>
      </c>
      <c r="BH23" s="194">
        <f t="shared" si="53"/>
        <v>0</v>
      </c>
      <c r="BI23" s="194">
        <f t="shared" si="53"/>
        <v>0</v>
      </c>
      <c r="BJ23" s="194">
        <f t="shared" si="53"/>
        <v>0</v>
      </c>
      <c r="BK23" s="194">
        <f t="shared" si="53"/>
        <v>0</v>
      </c>
      <c r="BL23" s="194">
        <f t="shared" si="53"/>
        <v>0</v>
      </c>
      <c r="BM23" s="194">
        <f t="shared" si="53"/>
        <v>0</v>
      </c>
      <c r="BN23" s="194">
        <f t="shared" si="53"/>
        <v>0</v>
      </c>
      <c r="BO23" s="195">
        <f>SUM(BC23:BN23)</f>
        <v>0</v>
      </c>
      <c r="BP23" s="194">
        <f aca="true" t="shared" si="54" ref="BP23:CA23">BP39+BP55+BP71+BP87</f>
        <v>0</v>
      </c>
      <c r="BQ23" s="194">
        <f t="shared" si="54"/>
        <v>0</v>
      </c>
      <c r="BR23" s="194">
        <f t="shared" si="54"/>
        <v>0</v>
      </c>
      <c r="BS23" s="194">
        <f t="shared" si="54"/>
        <v>0</v>
      </c>
      <c r="BT23" s="194">
        <f t="shared" si="54"/>
        <v>0</v>
      </c>
      <c r="BU23" s="194">
        <f t="shared" si="54"/>
        <v>0</v>
      </c>
      <c r="BV23" s="194">
        <f t="shared" si="54"/>
        <v>0</v>
      </c>
      <c r="BW23" s="194">
        <f t="shared" si="54"/>
        <v>0</v>
      </c>
      <c r="BX23" s="194">
        <f t="shared" si="54"/>
        <v>0</v>
      </c>
      <c r="BY23" s="194">
        <f t="shared" si="54"/>
        <v>0</v>
      </c>
      <c r="BZ23" s="194">
        <f t="shared" si="54"/>
        <v>0</v>
      </c>
      <c r="CA23" s="194">
        <f t="shared" si="54"/>
        <v>0</v>
      </c>
      <c r="CB23" s="195">
        <f>SUM(BP23:CA23)</f>
        <v>0</v>
      </c>
      <c r="CC23" s="194">
        <f aca="true" t="shared" si="55" ref="CC23:CN23">CC39+CC55+CC71+CC87</f>
        <v>0</v>
      </c>
      <c r="CD23" s="194">
        <f t="shared" si="55"/>
        <v>0</v>
      </c>
      <c r="CE23" s="194">
        <f t="shared" si="55"/>
        <v>0</v>
      </c>
      <c r="CF23" s="194">
        <f t="shared" si="55"/>
        <v>0</v>
      </c>
      <c r="CG23" s="194">
        <f t="shared" si="55"/>
        <v>0</v>
      </c>
      <c r="CH23" s="194">
        <f t="shared" si="55"/>
        <v>0</v>
      </c>
      <c r="CI23" s="194">
        <f t="shared" si="55"/>
        <v>0</v>
      </c>
      <c r="CJ23" s="194">
        <f t="shared" si="55"/>
        <v>0</v>
      </c>
      <c r="CK23" s="194">
        <f t="shared" si="55"/>
        <v>0</v>
      </c>
      <c r="CL23" s="194">
        <f t="shared" si="55"/>
        <v>0</v>
      </c>
      <c r="CM23" s="194">
        <f t="shared" si="55"/>
        <v>0</v>
      </c>
      <c r="CN23" s="194">
        <f t="shared" si="55"/>
        <v>0</v>
      </c>
      <c r="CO23" s="195">
        <f>SUM(CC23:CN23)</f>
        <v>0</v>
      </c>
      <c r="CP23" s="194">
        <f aca="true" t="shared" si="56" ref="CP23:DA23">CP39+CP55+CP71+CP87</f>
        <v>0</v>
      </c>
      <c r="CQ23" s="194">
        <f t="shared" si="56"/>
        <v>0</v>
      </c>
      <c r="CR23" s="194">
        <f t="shared" si="56"/>
        <v>0</v>
      </c>
      <c r="CS23" s="194">
        <f t="shared" si="56"/>
        <v>0</v>
      </c>
      <c r="CT23" s="194">
        <f t="shared" si="56"/>
        <v>0</v>
      </c>
      <c r="CU23" s="194">
        <f t="shared" si="56"/>
        <v>0</v>
      </c>
      <c r="CV23" s="194">
        <f t="shared" si="56"/>
        <v>0</v>
      </c>
      <c r="CW23" s="194">
        <f t="shared" si="56"/>
        <v>0</v>
      </c>
      <c r="CX23" s="194">
        <f t="shared" si="56"/>
        <v>0</v>
      </c>
      <c r="CY23" s="194">
        <f t="shared" si="56"/>
        <v>0</v>
      </c>
      <c r="CZ23" s="194">
        <f t="shared" si="56"/>
        <v>0</v>
      </c>
      <c r="DA23" s="194">
        <f t="shared" si="56"/>
        <v>0</v>
      </c>
      <c r="DB23" s="195">
        <f>SUM(CP23:DA23)</f>
        <v>0</v>
      </c>
      <c r="DC23" s="194">
        <f aca="true" t="shared" si="57" ref="DC23:DN23">DC39+DC55+DC71+DC87</f>
        <v>0</v>
      </c>
      <c r="DD23" s="194">
        <f t="shared" si="57"/>
        <v>0</v>
      </c>
      <c r="DE23" s="194">
        <f t="shared" si="57"/>
        <v>0</v>
      </c>
      <c r="DF23" s="194">
        <f t="shared" si="57"/>
        <v>0</v>
      </c>
      <c r="DG23" s="194">
        <f t="shared" si="57"/>
        <v>0</v>
      </c>
      <c r="DH23" s="194">
        <f t="shared" si="57"/>
        <v>0</v>
      </c>
      <c r="DI23" s="194">
        <f t="shared" si="57"/>
        <v>0</v>
      </c>
      <c r="DJ23" s="194">
        <f t="shared" si="57"/>
        <v>0</v>
      </c>
      <c r="DK23" s="194">
        <f t="shared" si="57"/>
        <v>0</v>
      </c>
      <c r="DL23" s="194">
        <f t="shared" si="57"/>
        <v>0</v>
      </c>
      <c r="DM23" s="194">
        <f t="shared" si="57"/>
        <v>0</v>
      </c>
      <c r="DN23" s="194">
        <f t="shared" si="57"/>
        <v>0</v>
      </c>
      <c r="DO23" s="195">
        <f>SUM(DC23:DN23)</f>
        <v>0</v>
      </c>
    </row>
    <row r="24" spans="1:119" s="197" customFormat="1" ht="12.75">
      <c r="A24" s="198" t="s">
        <v>13</v>
      </c>
      <c r="B24" s="193">
        <f>O24+AB24+AO24+BB24+BO24+CB24+CO24+DB24+DO24</f>
        <v>3185.9252391682776</v>
      </c>
      <c r="C24" s="194">
        <f t="shared" si="49"/>
        <v>0</v>
      </c>
      <c r="D24" s="194">
        <f t="shared" si="49"/>
        <v>0</v>
      </c>
      <c r="E24" s="194">
        <f t="shared" si="49"/>
        <v>0</v>
      </c>
      <c r="F24" s="194">
        <f t="shared" si="49"/>
        <v>0</v>
      </c>
      <c r="G24" s="194">
        <f t="shared" si="49"/>
        <v>0</v>
      </c>
      <c r="H24" s="194">
        <f t="shared" si="49"/>
        <v>0</v>
      </c>
      <c r="I24" s="194">
        <f t="shared" si="49"/>
        <v>0</v>
      </c>
      <c r="J24" s="194">
        <f t="shared" si="49"/>
        <v>0</v>
      </c>
      <c r="K24" s="194">
        <f t="shared" si="49"/>
        <v>0</v>
      </c>
      <c r="L24" s="194">
        <f t="shared" si="49"/>
        <v>0</v>
      </c>
      <c r="M24" s="194">
        <f t="shared" si="49"/>
        <v>57.83249733333334</v>
      </c>
      <c r="N24" s="194">
        <f t="shared" si="49"/>
        <v>62.16749466666668</v>
      </c>
      <c r="O24" s="195">
        <f>SUM(C24:N24)</f>
        <v>119.99999200000002</v>
      </c>
      <c r="P24" s="194">
        <f aca="true" t="shared" si="58" ref="P24:AA24">P40+P56+P72+P88</f>
        <v>62.16749466666668</v>
      </c>
      <c r="Q24" s="194">
        <f t="shared" si="58"/>
        <v>62.16749466666668</v>
      </c>
      <c r="R24" s="194">
        <f t="shared" si="58"/>
        <v>62.16749466666668</v>
      </c>
      <c r="S24" s="194">
        <f t="shared" si="58"/>
        <v>62.16749466666668</v>
      </c>
      <c r="T24" s="194">
        <f t="shared" si="58"/>
        <v>64.19163207333335</v>
      </c>
      <c r="U24" s="194">
        <f t="shared" si="58"/>
        <v>64.34335698000001</v>
      </c>
      <c r="V24" s="194">
        <f t="shared" si="58"/>
        <v>64.34335698000001</v>
      </c>
      <c r="W24" s="194">
        <f t="shared" si="58"/>
        <v>64.34335698000001</v>
      </c>
      <c r="X24" s="194">
        <f t="shared" si="58"/>
        <v>63.70487200048652</v>
      </c>
      <c r="Y24" s="194">
        <f t="shared" si="58"/>
        <v>63.014803089627165</v>
      </c>
      <c r="Z24" s="194">
        <f t="shared" si="58"/>
        <v>62.3207087767878</v>
      </c>
      <c r="AA24" s="194">
        <f t="shared" si="58"/>
        <v>61.62256558045688</v>
      </c>
      <c r="AB24" s="195">
        <f>SUM(P24:AA24)</f>
        <v>756.5546311273586</v>
      </c>
      <c r="AC24" s="194">
        <f aca="true" t="shared" si="59" ref="AC24:AN24">AC40+AC56+AC72+AC88</f>
        <v>60.92034988214734</v>
      </c>
      <c r="AD24" s="194">
        <f t="shared" si="59"/>
        <v>60.21403792559767</v>
      </c>
      <c r="AE24" s="194">
        <f t="shared" si="59"/>
        <v>59.503605815968136</v>
      </c>
      <c r="AF24" s="194">
        <f t="shared" si="59"/>
        <v>58.78902951903241</v>
      </c>
      <c r="AG24" s="194">
        <f t="shared" si="59"/>
        <v>58.07028486036458</v>
      </c>
      <c r="AH24" s="194">
        <f t="shared" si="59"/>
        <v>57.34734752452117</v>
      </c>
      <c r="AI24" s="194">
        <f t="shared" si="59"/>
        <v>56.620193054218696</v>
      </c>
      <c r="AJ24" s="194">
        <f t="shared" si="59"/>
        <v>55.88879684950611</v>
      </c>
      <c r="AK24" s="194">
        <f t="shared" si="59"/>
        <v>55.15313416693269</v>
      </c>
      <c r="AL24" s="194">
        <f t="shared" si="59"/>
        <v>54.41318011871093</v>
      </c>
      <c r="AM24" s="194">
        <f t="shared" si="59"/>
        <v>53.66890967187455</v>
      </c>
      <c r="AN24" s="194">
        <f t="shared" si="59"/>
        <v>52.920297647431624</v>
      </c>
      <c r="AO24" s="195">
        <f>SUM(AC24:AN24)</f>
        <v>683.5091670363058</v>
      </c>
      <c r="AP24" s="194">
        <f aca="true" t="shared" si="60" ref="AP24:BA24">AP40+AP56+AP72+AP88</f>
        <v>52.16731871951279</v>
      </c>
      <c r="AQ24" s="194">
        <f t="shared" si="60"/>
        <v>51.40994741451441</v>
      </c>
      <c r="AR24" s="194">
        <f t="shared" si="60"/>
        <v>50.648158110236885</v>
      </c>
      <c r="AS24" s="194">
        <f t="shared" si="60"/>
        <v>49.88192503501774</v>
      </c>
      <c r="AT24" s="194">
        <f t="shared" si="60"/>
        <v>49.11122226685981</v>
      </c>
      <c r="AU24" s="194">
        <f t="shared" si="60"/>
        <v>48.3360237325543</v>
      </c>
      <c r="AV24" s="194">
        <f t="shared" si="60"/>
        <v>47.556303206798674</v>
      </c>
      <c r="AW24" s="194">
        <f t="shared" si="60"/>
        <v>46.772034311309476</v>
      </c>
      <c r="AX24" s="194">
        <f t="shared" si="60"/>
        <v>45.98319051392991</v>
      </c>
      <c r="AY24" s="194">
        <f t="shared" si="60"/>
        <v>45.18974512773231</v>
      </c>
      <c r="AZ24" s="194">
        <f t="shared" si="60"/>
        <v>44.391671310115214</v>
      </c>
      <c r="BA24" s="194">
        <f t="shared" si="60"/>
        <v>43.58894206189536</v>
      </c>
      <c r="BB24" s="195">
        <f>SUM(AP24:BA24)</f>
        <v>575.036481810477</v>
      </c>
      <c r="BC24" s="194">
        <f aca="true" t="shared" si="61" ref="BC24:BN24">BC40+BC56+BC72+BC88</f>
        <v>42.781530226394224</v>
      </c>
      <c r="BD24" s="194">
        <f t="shared" si="61"/>
        <v>41.96940848851933</v>
      </c>
      <c r="BE24" s="194">
        <f t="shared" si="61"/>
        <v>41.15254937384016</v>
      </c>
      <c r="BF24" s="194">
        <f t="shared" si="61"/>
        <v>40.3309252476587</v>
      </c>
      <c r="BG24" s="194">
        <f t="shared" si="61"/>
        <v>39.50450831407451</v>
      </c>
      <c r="BH24" s="194">
        <f t="shared" si="61"/>
        <v>38.673270615044416</v>
      </c>
      <c r="BI24" s="194">
        <f t="shared" si="61"/>
        <v>37.83718402943665</v>
      </c>
      <c r="BJ24" s="194">
        <f t="shared" si="61"/>
        <v>36.996220272079505</v>
      </c>
      <c r="BK24" s="194">
        <f t="shared" si="61"/>
        <v>36.15035089280444</v>
      </c>
      <c r="BL24" s="194">
        <f t="shared" si="61"/>
        <v>35.299547275483604</v>
      </c>
      <c r="BM24" s="194">
        <f t="shared" si="61"/>
        <v>34.44378063706172</v>
      </c>
      <c r="BN24" s="194">
        <f t="shared" si="61"/>
        <v>33.583022026582384</v>
      </c>
      <c r="BO24" s="195">
        <f>SUM(BC24:BN24)</f>
        <v>458.7222973989796</v>
      </c>
      <c r="BP24" s="194">
        <f aca="true" t="shared" si="62" ref="BP24:CA24">BP40+BP56+BP72+BP88</f>
        <v>32.71724232420859</v>
      </c>
      <c r="BQ24" s="194">
        <f t="shared" si="62"/>
        <v>31.846412240237612</v>
      </c>
      <c r="BR24" s="194">
        <f t="shared" si="62"/>
        <v>30.970502314110135</v>
      </c>
      <c r="BS24" s="194">
        <f t="shared" si="62"/>
        <v>30.089482913413583</v>
      </c>
      <c r="BT24" s="194">
        <f t="shared" si="62"/>
        <v>29.20332423287963</v>
      </c>
      <c r="BU24" s="194">
        <f t="shared" si="62"/>
        <v>28.3119962933759</v>
      </c>
      <c r="BV24" s="194">
        <f t="shared" si="62"/>
        <v>27.415468940891728</v>
      </c>
      <c r="BW24" s="194">
        <f t="shared" si="62"/>
        <v>26.51371184551807</v>
      </c>
      <c r="BX24" s="194">
        <f t="shared" si="62"/>
        <v>25.606694500421398</v>
      </c>
      <c r="BY24" s="194">
        <f t="shared" si="62"/>
        <v>24.694386220811666</v>
      </c>
      <c r="BZ24" s="194">
        <f t="shared" si="62"/>
        <v>23.776756142904205</v>
      </c>
      <c r="CA24" s="194">
        <f t="shared" si="62"/>
        <v>22.853773222875613</v>
      </c>
      <c r="CB24" s="195">
        <f>SUM(BP24:CA24)</f>
        <v>333.9997511916481</v>
      </c>
      <c r="CC24" s="194">
        <f aca="true" t="shared" si="63" ref="CC24:CN24">CC40+CC56+CC72+CC88</f>
        <v>21.925406235813522</v>
      </c>
      <c r="CD24" s="194">
        <f t="shared" si="63"/>
        <v>20.991623774660244</v>
      </c>
      <c r="CE24" s="194">
        <f t="shared" si="63"/>
        <v>20.052394249150232</v>
      </c>
      <c r="CF24" s="194">
        <f t="shared" si="63"/>
        <v>19.10768588474141</v>
      </c>
      <c r="CG24" s="194">
        <f t="shared" si="63"/>
        <v>18.157466721540203</v>
      </c>
      <c r="CH24" s="194">
        <f t="shared" si="63"/>
        <v>17.201704613220326</v>
      </c>
      <c r="CI24" s="194">
        <f t="shared" si="63"/>
        <v>16.24036722593525</v>
      </c>
      <c r="CJ24" s="194">
        <f t="shared" si="63"/>
        <v>15.273422037224343</v>
      </c>
      <c r="CK24" s="194">
        <f t="shared" si="63"/>
        <v>14.300836334912622</v>
      </c>
      <c r="CL24" s="194">
        <f t="shared" si="63"/>
        <v>13.322577216004088</v>
      </c>
      <c r="CM24" s="194">
        <f t="shared" si="63"/>
        <v>12.338611585568584</v>
      </c>
      <c r="CN24" s="194">
        <f t="shared" si="63"/>
        <v>11.348906155622204</v>
      </c>
      <c r="CO24" s="195">
        <f>SUM(CC24:CN24)</f>
        <v>200.26100203439302</v>
      </c>
      <c r="CP24" s="194">
        <f aca="true" t="shared" si="64" ref="CP24:DA24">CP40+CP56+CP72+CP88</f>
        <v>10.353427444001138</v>
      </c>
      <c r="CQ24" s="194">
        <f t="shared" si="64"/>
        <v>9.352141773228949</v>
      </c>
      <c r="CR24" s="194">
        <f t="shared" si="64"/>
        <v>8.345015269377255</v>
      </c>
      <c r="CS24" s="194">
        <f t="shared" si="64"/>
        <v>7.332013860919759</v>
      </c>
      <c r="CT24" s="194">
        <f t="shared" si="64"/>
        <v>6.313103277579596</v>
      </c>
      <c r="CU24" s="194">
        <f t="shared" si="64"/>
        <v>5.288249049169948</v>
      </c>
      <c r="CV24" s="194">
        <f t="shared" si="64"/>
        <v>4.25741650442791</v>
      </c>
      <c r="CW24" s="194">
        <f t="shared" si="64"/>
        <v>3.2205707698415442</v>
      </c>
      <c r="CX24" s="194">
        <f t="shared" si="64"/>
        <v>2.1776767684700906</v>
      </c>
      <c r="CY24" s="194">
        <f t="shared" si="64"/>
        <v>1.1286992187573042</v>
      </c>
      <c r="CZ24" s="194">
        <f t="shared" si="64"/>
        <v>0.07360263333785934</v>
      </c>
      <c r="DA24" s="194">
        <f t="shared" si="64"/>
        <v>2.954436695290497E-13</v>
      </c>
      <c r="DB24" s="195">
        <f>SUM(CP24:DA24)</f>
        <v>57.841916569111646</v>
      </c>
      <c r="DC24" s="194">
        <f aca="true" t="shared" si="65" ref="DC24:DN24">DC40+DC56+DC72+DC88</f>
        <v>2.954436695290497E-13</v>
      </c>
      <c r="DD24" s="194">
        <f t="shared" si="65"/>
        <v>2.954436695290497E-13</v>
      </c>
      <c r="DE24" s="194">
        <f t="shared" si="65"/>
        <v>2.954436695290497E-13</v>
      </c>
      <c r="DF24" s="194">
        <f t="shared" si="65"/>
        <v>2.954436695290497E-13</v>
      </c>
      <c r="DG24" s="194">
        <f t="shared" si="65"/>
        <v>2.954436695290497E-13</v>
      </c>
      <c r="DH24" s="194">
        <f t="shared" si="65"/>
        <v>2.954436695290497E-13</v>
      </c>
      <c r="DI24" s="194">
        <f t="shared" si="65"/>
        <v>2.954436695290497E-13</v>
      </c>
      <c r="DJ24" s="194">
        <f t="shared" si="65"/>
        <v>2.954436695290497E-13</v>
      </c>
      <c r="DK24" s="194">
        <f t="shared" si="65"/>
        <v>2.954436695290497E-13</v>
      </c>
      <c r="DL24" s="194">
        <f t="shared" si="65"/>
        <v>2.954436695290497E-13</v>
      </c>
      <c r="DM24" s="194">
        <f t="shared" si="65"/>
        <v>2.954436695290497E-13</v>
      </c>
      <c r="DN24" s="194">
        <f t="shared" si="65"/>
        <v>2.954436695290497E-13</v>
      </c>
      <c r="DO24" s="195">
        <f>SUM(DC24:DN24)</f>
        <v>3.5453240343485957E-12</v>
      </c>
    </row>
    <row r="25" spans="1:119" ht="12.75">
      <c r="A25" s="188" t="s">
        <v>14</v>
      </c>
      <c r="B25" s="193">
        <f>O25+AB25+AO25+BB25+BO25+CB25+CO25+DB25+DO25</f>
        <v>11030.289767999955</v>
      </c>
      <c r="C25" s="194">
        <f t="shared" si="49"/>
        <v>0</v>
      </c>
      <c r="D25" s="194">
        <f t="shared" si="49"/>
        <v>0</v>
      </c>
      <c r="E25" s="194">
        <f t="shared" si="49"/>
        <v>0</v>
      </c>
      <c r="F25" s="194">
        <f t="shared" si="49"/>
        <v>0</v>
      </c>
      <c r="G25" s="194">
        <f t="shared" si="49"/>
        <v>0</v>
      </c>
      <c r="H25" s="194">
        <f t="shared" si="49"/>
        <v>0</v>
      </c>
      <c r="I25" s="194">
        <f t="shared" si="49"/>
        <v>0</v>
      </c>
      <c r="J25" s="194">
        <f t="shared" si="49"/>
        <v>0</v>
      </c>
      <c r="K25" s="194">
        <f t="shared" si="49"/>
        <v>0</v>
      </c>
      <c r="L25" s="194">
        <f t="shared" si="49"/>
        <v>0</v>
      </c>
      <c r="M25" s="194">
        <f t="shared" si="49"/>
        <v>0</v>
      </c>
      <c r="N25" s="194">
        <f t="shared" si="49"/>
        <v>0</v>
      </c>
      <c r="O25" s="195">
        <f>SUM(C25:N25)</f>
        <v>0</v>
      </c>
      <c r="P25" s="194">
        <f aca="true" t="shared" si="66" ref="P25:AA25">P41+P57+P73+P89</f>
        <v>0</v>
      </c>
      <c r="Q25" s="194">
        <f t="shared" si="66"/>
        <v>0</v>
      </c>
      <c r="R25" s="194">
        <f t="shared" si="66"/>
        <v>0</v>
      </c>
      <c r="S25" s="194">
        <f t="shared" si="66"/>
        <v>0</v>
      </c>
      <c r="T25" s="194">
        <f t="shared" si="66"/>
        <v>0</v>
      </c>
      <c r="U25" s="194">
        <f t="shared" si="66"/>
        <v>0</v>
      </c>
      <c r="V25" s="194">
        <f t="shared" si="66"/>
        <v>0</v>
      </c>
      <c r="W25" s="194">
        <f t="shared" si="66"/>
        <v>109.45456791659927</v>
      </c>
      <c r="X25" s="194">
        <f t="shared" si="66"/>
        <v>118.29752757588987</v>
      </c>
      <c r="Y25" s="194">
        <f t="shared" si="66"/>
        <v>118.98759648674921</v>
      </c>
      <c r="Z25" s="194">
        <f t="shared" si="66"/>
        <v>119.68169079958858</v>
      </c>
      <c r="AA25" s="194">
        <f t="shared" si="66"/>
        <v>120.3798339959195</v>
      </c>
      <c r="AB25" s="195">
        <f>SUM(P25:AA25)</f>
        <v>586.8012167747464</v>
      </c>
      <c r="AC25" s="194">
        <f aca="true" t="shared" si="67" ref="AC25:AN25">AC41+AC57+AC73+AC89</f>
        <v>121.08204969422903</v>
      </c>
      <c r="AD25" s="194">
        <f t="shared" si="67"/>
        <v>121.78836165077871</v>
      </c>
      <c r="AE25" s="194">
        <f t="shared" si="67"/>
        <v>122.49879376040825</v>
      </c>
      <c r="AF25" s="194">
        <f t="shared" si="67"/>
        <v>123.21337005734398</v>
      </c>
      <c r="AG25" s="194">
        <f t="shared" si="67"/>
        <v>123.9321147160118</v>
      </c>
      <c r="AH25" s="194">
        <f t="shared" si="67"/>
        <v>124.65505205185522</v>
      </c>
      <c r="AI25" s="194">
        <f t="shared" si="67"/>
        <v>125.38220652215769</v>
      </c>
      <c r="AJ25" s="194">
        <f t="shared" si="67"/>
        <v>126.11360272687027</v>
      </c>
      <c r="AK25" s="194">
        <f t="shared" si="67"/>
        <v>126.84926540944369</v>
      </c>
      <c r="AL25" s="194">
        <f t="shared" si="67"/>
        <v>127.58921945766545</v>
      </c>
      <c r="AM25" s="194">
        <f t="shared" si="67"/>
        <v>128.33348990450185</v>
      </c>
      <c r="AN25" s="194">
        <f t="shared" si="67"/>
        <v>129.08210192894475</v>
      </c>
      <c r="AO25" s="195">
        <f>SUM(AC25:AN25)</f>
        <v>1500.5196278802107</v>
      </c>
      <c r="AP25" s="194">
        <f aca="true" t="shared" si="68" ref="AP25:BA25">AP41+AP57+AP73+AP89</f>
        <v>129.83508085686358</v>
      </c>
      <c r="AQ25" s="194">
        <f t="shared" si="68"/>
        <v>130.59245216186198</v>
      </c>
      <c r="AR25" s="194">
        <f t="shared" si="68"/>
        <v>131.3542414661395</v>
      </c>
      <c r="AS25" s="194">
        <f t="shared" si="68"/>
        <v>132.12047454135865</v>
      </c>
      <c r="AT25" s="194">
        <f t="shared" si="68"/>
        <v>132.89117730951656</v>
      </c>
      <c r="AU25" s="194">
        <f t="shared" si="68"/>
        <v>133.66637584382207</v>
      </c>
      <c r="AV25" s="194">
        <f t="shared" si="68"/>
        <v>134.4460963695777</v>
      </c>
      <c r="AW25" s="194">
        <f t="shared" si="68"/>
        <v>135.2303652650669</v>
      </c>
      <c r="AX25" s="194">
        <f t="shared" si="68"/>
        <v>136.01920906244646</v>
      </c>
      <c r="AY25" s="194">
        <f t="shared" si="68"/>
        <v>136.81265444864408</v>
      </c>
      <c r="AZ25" s="194">
        <f t="shared" si="68"/>
        <v>137.61072826626116</v>
      </c>
      <c r="BA25" s="194">
        <f t="shared" si="68"/>
        <v>138.41345751448102</v>
      </c>
      <c r="BB25" s="195">
        <f>SUM(AP25:BA25)</f>
        <v>1608.9923131060393</v>
      </c>
      <c r="BC25" s="194">
        <f aca="true" t="shared" si="69" ref="BC25:BN25">BC41+BC57+BC73+BC89</f>
        <v>139.22086934998217</v>
      </c>
      <c r="BD25" s="194">
        <f t="shared" si="69"/>
        <v>140.03299108785706</v>
      </c>
      <c r="BE25" s="194">
        <f t="shared" si="69"/>
        <v>140.84985020253623</v>
      </c>
      <c r="BF25" s="194">
        <f t="shared" si="69"/>
        <v>141.67147432871766</v>
      </c>
      <c r="BG25" s="194">
        <f t="shared" si="69"/>
        <v>142.49789126230186</v>
      </c>
      <c r="BH25" s="194">
        <f t="shared" si="69"/>
        <v>143.32912896133197</v>
      </c>
      <c r="BI25" s="194">
        <f t="shared" si="69"/>
        <v>144.16521554693972</v>
      </c>
      <c r="BJ25" s="194">
        <f t="shared" si="69"/>
        <v>145.0061793042969</v>
      </c>
      <c r="BK25" s="194">
        <f t="shared" si="69"/>
        <v>145.85204868357195</v>
      </c>
      <c r="BL25" s="194">
        <f t="shared" si="69"/>
        <v>146.70285230089277</v>
      </c>
      <c r="BM25" s="194">
        <f t="shared" si="69"/>
        <v>147.55861893931467</v>
      </c>
      <c r="BN25" s="194">
        <f t="shared" si="69"/>
        <v>148.41937754979398</v>
      </c>
      <c r="BO25" s="195">
        <f>SUM(BC25:BN25)</f>
        <v>1725.3064975175369</v>
      </c>
      <c r="BP25" s="194">
        <f aca="true" t="shared" si="70" ref="BP25:CA25">BP41+BP57+BP73+BP89</f>
        <v>149.2851572521678</v>
      </c>
      <c r="BQ25" s="194">
        <f t="shared" si="70"/>
        <v>150.15598733613876</v>
      </c>
      <c r="BR25" s="194">
        <f t="shared" si="70"/>
        <v>151.03189726226626</v>
      </c>
      <c r="BS25" s="194">
        <f t="shared" si="70"/>
        <v>151.9129166629628</v>
      </c>
      <c r="BT25" s="194">
        <f t="shared" si="70"/>
        <v>152.79907534349675</v>
      </c>
      <c r="BU25" s="194">
        <f t="shared" si="70"/>
        <v>153.69040328300048</v>
      </c>
      <c r="BV25" s="194">
        <f t="shared" si="70"/>
        <v>154.58693063548466</v>
      </c>
      <c r="BW25" s="194">
        <f t="shared" si="70"/>
        <v>155.48868773085832</v>
      </c>
      <c r="BX25" s="194">
        <f t="shared" si="70"/>
        <v>156.39570507595496</v>
      </c>
      <c r="BY25" s="194">
        <f t="shared" si="70"/>
        <v>157.30801335556473</v>
      </c>
      <c r="BZ25" s="194">
        <f t="shared" si="70"/>
        <v>158.2256434334722</v>
      </c>
      <c r="CA25" s="194">
        <f t="shared" si="70"/>
        <v>159.1486263535008</v>
      </c>
      <c r="CB25" s="195">
        <f>SUM(BP25:CA25)</f>
        <v>1850.0290437248684</v>
      </c>
      <c r="CC25" s="194">
        <f aca="true" t="shared" si="71" ref="CC25:CN25">CC41+CC57+CC73+CC89</f>
        <v>160.07699334056286</v>
      </c>
      <c r="CD25" s="194">
        <f t="shared" si="71"/>
        <v>161.01077580171614</v>
      </c>
      <c r="CE25" s="194">
        <f t="shared" si="71"/>
        <v>161.95000532722614</v>
      </c>
      <c r="CF25" s="194">
        <f t="shared" si="71"/>
        <v>162.89471369163496</v>
      </c>
      <c r="CG25" s="194">
        <f t="shared" si="71"/>
        <v>163.84493285483617</v>
      </c>
      <c r="CH25" s="194">
        <f t="shared" si="71"/>
        <v>164.80069496315605</v>
      </c>
      <c r="CI25" s="194">
        <f t="shared" si="71"/>
        <v>165.76203235044113</v>
      </c>
      <c r="CJ25" s="194">
        <f t="shared" si="71"/>
        <v>166.72897753915205</v>
      </c>
      <c r="CK25" s="194">
        <f t="shared" si="71"/>
        <v>167.70156324146376</v>
      </c>
      <c r="CL25" s="194">
        <f t="shared" si="71"/>
        <v>168.6798223603723</v>
      </c>
      <c r="CM25" s="194">
        <f t="shared" si="71"/>
        <v>169.6637879908078</v>
      </c>
      <c r="CN25" s="194">
        <f t="shared" si="71"/>
        <v>170.6534934207542</v>
      </c>
      <c r="CO25" s="195">
        <f>SUM(CC25:CN25)</f>
        <v>1983.7677928821236</v>
      </c>
      <c r="CP25" s="194">
        <f aca="true" t="shared" si="72" ref="CP25:DA25">CP41+CP57+CP73+CP89</f>
        <v>171.64897213237526</v>
      </c>
      <c r="CQ25" s="194">
        <f t="shared" si="72"/>
        <v>172.65025780314744</v>
      </c>
      <c r="CR25" s="194">
        <f t="shared" si="72"/>
        <v>173.65738430699912</v>
      </c>
      <c r="CS25" s="194">
        <f t="shared" si="72"/>
        <v>174.6703857154566</v>
      </c>
      <c r="CT25" s="194">
        <f t="shared" si="72"/>
        <v>175.6892962987968</v>
      </c>
      <c r="CU25" s="194">
        <f t="shared" si="72"/>
        <v>176.71415052720644</v>
      </c>
      <c r="CV25" s="194">
        <f t="shared" si="72"/>
        <v>177.74498307194847</v>
      </c>
      <c r="CW25" s="194">
        <f t="shared" si="72"/>
        <v>178.78182880653483</v>
      </c>
      <c r="CX25" s="194">
        <f t="shared" si="72"/>
        <v>179.82472280790628</v>
      </c>
      <c r="CY25" s="194">
        <f t="shared" si="72"/>
        <v>180.87370035761907</v>
      </c>
      <c r="CZ25" s="194">
        <f t="shared" si="72"/>
        <v>12.617594286439523</v>
      </c>
      <c r="DA25" s="194">
        <f t="shared" si="72"/>
        <v>0</v>
      </c>
      <c r="DB25" s="195">
        <f>SUM(CP25:DA25)</f>
        <v>1774.87327611443</v>
      </c>
      <c r="DC25" s="194">
        <f aca="true" t="shared" si="73" ref="DC25:DN25">DC41+DC57+DC73+DC89</f>
        <v>0</v>
      </c>
      <c r="DD25" s="194">
        <f t="shared" si="73"/>
        <v>0</v>
      </c>
      <c r="DE25" s="194">
        <f t="shared" si="73"/>
        <v>0</v>
      </c>
      <c r="DF25" s="194">
        <f t="shared" si="73"/>
        <v>0</v>
      </c>
      <c r="DG25" s="194">
        <f t="shared" si="73"/>
        <v>0</v>
      </c>
      <c r="DH25" s="194">
        <f t="shared" si="73"/>
        <v>0</v>
      </c>
      <c r="DI25" s="194">
        <f t="shared" si="73"/>
        <v>0</v>
      </c>
      <c r="DJ25" s="194">
        <f t="shared" si="73"/>
        <v>0</v>
      </c>
      <c r="DK25" s="194">
        <f t="shared" si="73"/>
        <v>0</v>
      </c>
      <c r="DL25" s="194">
        <f t="shared" si="73"/>
        <v>0</v>
      </c>
      <c r="DM25" s="194">
        <f t="shared" si="73"/>
        <v>0</v>
      </c>
      <c r="DN25" s="194">
        <f t="shared" si="73"/>
        <v>0</v>
      </c>
      <c r="DO25" s="195">
        <f>SUM(DC25:DN25)</f>
        <v>0</v>
      </c>
    </row>
    <row r="26" spans="1:119" ht="12.75">
      <c r="A26" s="188" t="s">
        <v>15</v>
      </c>
      <c r="B26" s="193">
        <f>O26+AB26+AO26+BB26+BO26+CB26+CO26+DB26+DO26</f>
        <v>2812.9202711682774</v>
      </c>
      <c r="C26" s="194">
        <f t="shared" si="49"/>
        <v>0</v>
      </c>
      <c r="D26" s="194">
        <f t="shared" si="49"/>
        <v>0</v>
      </c>
      <c r="E26" s="194">
        <f t="shared" si="49"/>
        <v>0</v>
      </c>
      <c r="F26" s="194">
        <f t="shared" si="49"/>
        <v>0</v>
      </c>
      <c r="G26" s="194">
        <f t="shared" si="49"/>
        <v>0</v>
      </c>
      <c r="H26" s="194">
        <f t="shared" si="49"/>
        <v>0</v>
      </c>
      <c r="I26" s="194">
        <f t="shared" si="49"/>
        <v>0</v>
      </c>
      <c r="J26" s="194">
        <f t="shared" si="49"/>
        <v>0</v>
      </c>
      <c r="K26" s="194">
        <f t="shared" si="49"/>
        <v>0</v>
      </c>
      <c r="L26" s="194">
        <f t="shared" si="49"/>
        <v>0</v>
      </c>
      <c r="M26" s="194">
        <f t="shared" si="49"/>
        <v>0</v>
      </c>
      <c r="N26" s="194">
        <f t="shared" si="49"/>
        <v>0</v>
      </c>
      <c r="O26" s="195">
        <f>SUM(C26:N26)</f>
        <v>0</v>
      </c>
      <c r="P26" s="194">
        <f aca="true" t="shared" si="74" ref="P26:AA26">P42+P58+P74+P90</f>
        <v>0</v>
      </c>
      <c r="Q26" s="194">
        <f t="shared" si="74"/>
        <v>0</v>
      </c>
      <c r="R26" s="194">
        <f t="shared" si="74"/>
        <v>0</v>
      </c>
      <c r="S26" s="194">
        <f t="shared" si="74"/>
        <v>0</v>
      </c>
      <c r="T26" s="194">
        <f t="shared" si="74"/>
        <v>59.85663474000001</v>
      </c>
      <c r="U26" s="194">
        <f t="shared" si="74"/>
        <v>64.34335698000001</v>
      </c>
      <c r="V26" s="194">
        <f t="shared" si="74"/>
        <v>64.34335698000001</v>
      </c>
      <c r="W26" s="194">
        <f t="shared" si="74"/>
        <v>64.34335698000001</v>
      </c>
      <c r="X26" s="194">
        <f t="shared" si="74"/>
        <v>63.70487200048652</v>
      </c>
      <c r="Y26" s="194">
        <f t="shared" si="74"/>
        <v>63.014803089627165</v>
      </c>
      <c r="Z26" s="194">
        <f t="shared" si="74"/>
        <v>62.3207087767878</v>
      </c>
      <c r="AA26" s="194">
        <f t="shared" si="74"/>
        <v>61.62256558045688</v>
      </c>
      <c r="AB26" s="195">
        <f>SUM(P26:AA26)</f>
        <v>503.5496551273584</v>
      </c>
      <c r="AC26" s="194">
        <f aca="true" t="shared" si="75" ref="AC26:AN26">AC42+AC58+AC74+AC90</f>
        <v>60.92034988214734</v>
      </c>
      <c r="AD26" s="194">
        <f t="shared" si="75"/>
        <v>60.21403792559767</v>
      </c>
      <c r="AE26" s="194">
        <f t="shared" si="75"/>
        <v>59.503605815968136</v>
      </c>
      <c r="AF26" s="194">
        <f t="shared" si="75"/>
        <v>58.78902951903241</v>
      </c>
      <c r="AG26" s="194">
        <f t="shared" si="75"/>
        <v>58.07028486036458</v>
      </c>
      <c r="AH26" s="194">
        <f t="shared" si="75"/>
        <v>57.34734752452117</v>
      </c>
      <c r="AI26" s="194">
        <f t="shared" si="75"/>
        <v>56.620193054218696</v>
      </c>
      <c r="AJ26" s="194">
        <f t="shared" si="75"/>
        <v>55.88879684950611</v>
      </c>
      <c r="AK26" s="194">
        <f t="shared" si="75"/>
        <v>55.15313416693269</v>
      </c>
      <c r="AL26" s="194">
        <f t="shared" si="75"/>
        <v>54.41318011871093</v>
      </c>
      <c r="AM26" s="194">
        <f t="shared" si="75"/>
        <v>53.66890967187455</v>
      </c>
      <c r="AN26" s="194">
        <f t="shared" si="75"/>
        <v>52.920297647431624</v>
      </c>
      <c r="AO26" s="195">
        <f>SUM(AC26:AN26)</f>
        <v>683.5091670363058</v>
      </c>
      <c r="AP26" s="194">
        <f aca="true" t="shared" si="76" ref="AP26:BA26">AP42+AP58+AP74+AP90</f>
        <v>52.16731871951279</v>
      </c>
      <c r="AQ26" s="194">
        <f t="shared" si="76"/>
        <v>51.40994741451441</v>
      </c>
      <c r="AR26" s="194">
        <f t="shared" si="76"/>
        <v>50.648158110236885</v>
      </c>
      <c r="AS26" s="194">
        <f t="shared" si="76"/>
        <v>49.88192503501774</v>
      </c>
      <c r="AT26" s="194">
        <f t="shared" si="76"/>
        <v>49.11122226685981</v>
      </c>
      <c r="AU26" s="194">
        <f t="shared" si="76"/>
        <v>48.3360237325543</v>
      </c>
      <c r="AV26" s="194">
        <f t="shared" si="76"/>
        <v>47.556303206798674</v>
      </c>
      <c r="AW26" s="194">
        <f t="shared" si="76"/>
        <v>46.772034311309476</v>
      </c>
      <c r="AX26" s="194">
        <f t="shared" si="76"/>
        <v>45.98319051392991</v>
      </c>
      <c r="AY26" s="194">
        <f t="shared" si="76"/>
        <v>45.18974512773231</v>
      </c>
      <c r="AZ26" s="194">
        <f t="shared" si="76"/>
        <v>44.391671310115214</v>
      </c>
      <c r="BA26" s="194">
        <f t="shared" si="76"/>
        <v>43.58894206189536</v>
      </c>
      <c r="BB26" s="195">
        <f>SUM(AP26:BA26)</f>
        <v>575.036481810477</v>
      </c>
      <c r="BC26" s="194">
        <f aca="true" t="shared" si="77" ref="BC26:BN26">BC42+BC58+BC74+BC90</f>
        <v>42.781530226394224</v>
      </c>
      <c r="BD26" s="194">
        <f t="shared" si="77"/>
        <v>41.96940848851933</v>
      </c>
      <c r="BE26" s="194">
        <f t="shared" si="77"/>
        <v>41.15254937384016</v>
      </c>
      <c r="BF26" s="194">
        <f t="shared" si="77"/>
        <v>40.3309252476587</v>
      </c>
      <c r="BG26" s="194">
        <f t="shared" si="77"/>
        <v>39.50450831407451</v>
      </c>
      <c r="BH26" s="194">
        <f t="shared" si="77"/>
        <v>38.673270615044416</v>
      </c>
      <c r="BI26" s="194">
        <f t="shared" si="77"/>
        <v>37.83718402943665</v>
      </c>
      <c r="BJ26" s="194">
        <f t="shared" si="77"/>
        <v>36.996220272079505</v>
      </c>
      <c r="BK26" s="194">
        <f t="shared" si="77"/>
        <v>36.15035089280444</v>
      </c>
      <c r="BL26" s="194">
        <f t="shared" si="77"/>
        <v>35.299547275483604</v>
      </c>
      <c r="BM26" s="194">
        <f t="shared" si="77"/>
        <v>34.44378063706172</v>
      </c>
      <c r="BN26" s="194">
        <f t="shared" si="77"/>
        <v>33.583022026582384</v>
      </c>
      <c r="BO26" s="195">
        <f>SUM(BC26:BN26)</f>
        <v>458.7222973989796</v>
      </c>
      <c r="BP26" s="194">
        <f aca="true" t="shared" si="78" ref="BP26:CA26">BP42+BP58+BP74+BP90</f>
        <v>32.71724232420859</v>
      </c>
      <c r="BQ26" s="194">
        <f t="shared" si="78"/>
        <v>31.846412240237612</v>
      </c>
      <c r="BR26" s="194">
        <f t="shared" si="78"/>
        <v>30.970502314110135</v>
      </c>
      <c r="BS26" s="194">
        <f t="shared" si="78"/>
        <v>30.089482913413583</v>
      </c>
      <c r="BT26" s="194">
        <f t="shared" si="78"/>
        <v>29.20332423287963</v>
      </c>
      <c r="BU26" s="194">
        <f t="shared" si="78"/>
        <v>28.3119962933759</v>
      </c>
      <c r="BV26" s="194">
        <f t="shared" si="78"/>
        <v>27.415468940891728</v>
      </c>
      <c r="BW26" s="194">
        <f t="shared" si="78"/>
        <v>26.51371184551807</v>
      </c>
      <c r="BX26" s="194">
        <f t="shared" si="78"/>
        <v>25.606694500421398</v>
      </c>
      <c r="BY26" s="194">
        <f t="shared" si="78"/>
        <v>24.694386220811666</v>
      </c>
      <c r="BZ26" s="194">
        <f t="shared" si="78"/>
        <v>23.776756142904205</v>
      </c>
      <c r="CA26" s="194">
        <f t="shared" si="78"/>
        <v>22.853773222875613</v>
      </c>
      <c r="CB26" s="195">
        <f>SUM(BP26:CA26)</f>
        <v>333.9997511916481</v>
      </c>
      <c r="CC26" s="194">
        <f aca="true" t="shared" si="79" ref="CC26:CN26">CC42+CC58+CC74+CC90</f>
        <v>21.925406235813522</v>
      </c>
      <c r="CD26" s="194">
        <f t="shared" si="79"/>
        <v>20.991623774660244</v>
      </c>
      <c r="CE26" s="194">
        <f t="shared" si="79"/>
        <v>20.052394249150232</v>
      </c>
      <c r="CF26" s="194">
        <f t="shared" si="79"/>
        <v>19.10768588474141</v>
      </c>
      <c r="CG26" s="194">
        <f t="shared" si="79"/>
        <v>18.157466721540203</v>
      </c>
      <c r="CH26" s="194">
        <f t="shared" si="79"/>
        <v>17.201704613220326</v>
      </c>
      <c r="CI26" s="194">
        <f t="shared" si="79"/>
        <v>16.24036722593525</v>
      </c>
      <c r="CJ26" s="194">
        <f t="shared" si="79"/>
        <v>15.273422037224343</v>
      </c>
      <c r="CK26" s="194">
        <f t="shared" si="79"/>
        <v>14.300836334912622</v>
      </c>
      <c r="CL26" s="194">
        <f t="shared" si="79"/>
        <v>13.322577216004088</v>
      </c>
      <c r="CM26" s="194">
        <f t="shared" si="79"/>
        <v>12.338611585568584</v>
      </c>
      <c r="CN26" s="194">
        <f t="shared" si="79"/>
        <v>11.348906155622204</v>
      </c>
      <c r="CO26" s="195">
        <f>SUM(CC26:CN26)</f>
        <v>200.26100203439302</v>
      </c>
      <c r="CP26" s="194">
        <f aca="true" t="shared" si="80" ref="CP26:DA26">CP42+CP58+CP74+CP90</f>
        <v>10.353427444001138</v>
      </c>
      <c r="CQ26" s="194">
        <f t="shared" si="80"/>
        <v>9.352141773228949</v>
      </c>
      <c r="CR26" s="194">
        <f t="shared" si="80"/>
        <v>8.345015269377255</v>
      </c>
      <c r="CS26" s="194">
        <f t="shared" si="80"/>
        <v>7.332013860919759</v>
      </c>
      <c r="CT26" s="194">
        <f t="shared" si="80"/>
        <v>6.313103277579596</v>
      </c>
      <c r="CU26" s="194">
        <f t="shared" si="80"/>
        <v>5.288249049169948</v>
      </c>
      <c r="CV26" s="194">
        <f t="shared" si="80"/>
        <v>4.25741650442791</v>
      </c>
      <c r="CW26" s="194">
        <f t="shared" si="80"/>
        <v>3.2205707698415442</v>
      </c>
      <c r="CX26" s="194">
        <f t="shared" si="80"/>
        <v>2.1776767684700906</v>
      </c>
      <c r="CY26" s="194">
        <f t="shared" si="80"/>
        <v>1.1286992187573042</v>
      </c>
      <c r="CZ26" s="194">
        <f t="shared" si="80"/>
        <v>0.07360263333785934</v>
      </c>
      <c r="DA26" s="194">
        <f t="shared" si="80"/>
        <v>2.954436695290497E-13</v>
      </c>
      <c r="DB26" s="195">
        <f>SUM(CP26:DA26)</f>
        <v>57.841916569111646</v>
      </c>
      <c r="DC26" s="194">
        <f aca="true" t="shared" si="81" ref="DC26:DN26">DC42+DC58+DC74+DC90</f>
        <v>2.954436695290497E-13</v>
      </c>
      <c r="DD26" s="194">
        <f t="shared" si="81"/>
        <v>2.954436695290497E-13</v>
      </c>
      <c r="DE26" s="194">
        <f t="shared" si="81"/>
        <v>2.954436695290497E-13</v>
      </c>
      <c r="DF26" s="194">
        <f t="shared" si="81"/>
        <v>2.954436695290497E-13</v>
      </c>
      <c r="DG26" s="194">
        <f t="shared" si="81"/>
        <v>2.954436695290497E-13</v>
      </c>
      <c r="DH26" s="194">
        <f t="shared" si="81"/>
        <v>2.954436695290497E-13</v>
      </c>
      <c r="DI26" s="194">
        <f t="shared" si="81"/>
        <v>2.954436695290497E-13</v>
      </c>
      <c r="DJ26" s="194">
        <f t="shared" si="81"/>
        <v>2.954436695290497E-13</v>
      </c>
      <c r="DK26" s="194">
        <f t="shared" si="81"/>
        <v>2.954436695290497E-13</v>
      </c>
      <c r="DL26" s="194">
        <f t="shared" si="81"/>
        <v>2.954436695290497E-13</v>
      </c>
      <c r="DM26" s="194">
        <f t="shared" si="81"/>
        <v>2.954436695290497E-13</v>
      </c>
      <c r="DN26" s="194">
        <f t="shared" si="81"/>
        <v>2.954436695290497E-13</v>
      </c>
      <c r="DO26" s="195">
        <f>SUM(DC26:DN26)</f>
        <v>3.5453240343485957E-12</v>
      </c>
    </row>
    <row r="27" spans="1:119" ht="12.75">
      <c r="A27" s="188" t="s">
        <v>16</v>
      </c>
      <c r="B27" s="193">
        <f>DO27</f>
        <v>5.064748620497994E-11</v>
      </c>
      <c r="C27" s="194">
        <f t="shared" si="49"/>
        <v>0</v>
      </c>
      <c r="D27" s="194">
        <f t="shared" si="49"/>
        <v>0</v>
      </c>
      <c r="E27" s="194">
        <f t="shared" si="49"/>
        <v>0</v>
      </c>
      <c r="F27" s="194">
        <f t="shared" si="49"/>
        <v>0</v>
      </c>
      <c r="G27" s="194">
        <f t="shared" si="49"/>
        <v>0</v>
      </c>
      <c r="H27" s="194">
        <f t="shared" si="49"/>
        <v>0</v>
      </c>
      <c r="I27" s="194">
        <f t="shared" si="49"/>
        <v>0</v>
      </c>
      <c r="J27" s="194">
        <f t="shared" si="49"/>
        <v>0</v>
      </c>
      <c r="K27" s="194">
        <f t="shared" si="49"/>
        <v>0</v>
      </c>
      <c r="L27" s="194">
        <f t="shared" si="49"/>
        <v>9914.1424</v>
      </c>
      <c r="M27" s="194">
        <f t="shared" si="49"/>
        <v>10657.284800000001</v>
      </c>
      <c r="N27" s="194">
        <f t="shared" si="49"/>
        <v>10657.284800000001</v>
      </c>
      <c r="O27" s="195">
        <f>N27</f>
        <v>10657.284800000001</v>
      </c>
      <c r="P27" s="194">
        <f aca="true" t="shared" si="82" ref="P27:AA27">P43+P59+P75+P91</f>
        <v>10657.284800000001</v>
      </c>
      <c r="Q27" s="194">
        <f t="shared" si="82"/>
        <v>10657.284800000001</v>
      </c>
      <c r="R27" s="194">
        <f t="shared" si="82"/>
        <v>10657.284800000001</v>
      </c>
      <c r="S27" s="194">
        <f t="shared" si="82"/>
        <v>11004.279784000002</v>
      </c>
      <c r="T27" s="194">
        <f t="shared" si="82"/>
        <v>11030.289768000002</v>
      </c>
      <c r="U27" s="194">
        <f t="shared" si="82"/>
        <v>11030.289768000002</v>
      </c>
      <c r="V27" s="194">
        <f t="shared" si="82"/>
        <v>11030.289768000002</v>
      </c>
      <c r="W27" s="194">
        <f t="shared" si="82"/>
        <v>10920.835200083404</v>
      </c>
      <c r="X27" s="194">
        <f t="shared" si="82"/>
        <v>10802.537672507513</v>
      </c>
      <c r="Y27" s="194">
        <f t="shared" si="82"/>
        <v>10683.550076020765</v>
      </c>
      <c r="Z27" s="194">
        <f t="shared" si="82"/>
        <v>10563.868385221176</v>
      </c>
      <c r="AA27" s="194">
        <f t="shared" si="82"/>
        <v>10443.488551225259</v>
      </c>
      <c r="AB27" s="195">
        <f>AA27</f>
        <v>10443.488551225259</v>
      </c>
      <c r="AC27" s="194">
        <f aca="true" t="shared" si="83" ref="AC27:AN27">AC43+AC59+AC75+AC91</f>
        <v>10322.40650153103</v>
      </c>
      <c r="AD27" s="194">
        <f t="shared" si="83"/>
        <v>10200.618139880251</v>
      </c>
      <c r="AE27" s="194">
        <f t="shared" si="83"/>
        <v>10078.119346119842</v>
      </c>
      <c r="AF27" s="194">
        <f t="shared" si="83"/>
        <v>9954.905976062499</v>
      </c>
      <c r="AG27" s="194">
        <f t="shared" si="83"/>
        <v>9830.973861346485</v>
      </c>
      <c r="AH27" s="194">
        <f t="shared" si="83"/>
        <v>9706.318809294631</v>
      </c>
      <c r="AI27" s="194">
        <f t="shared" si="83"/>
        <v>9580.936602772474</v>
      </c>
      <c r="AJ27" s="194">
        <f t="shared" si="83"/>
        <v>9454.823000045602</v>
      </c>
      <c r="AK27" s="194">
        <f t="shared" si="83"/>
        <v>9327.97373463616</v>
      </c>
      <c r="AL27" s="194">
        <f t="shared" si="83"/>
        <v>9200.384515178494</v>
      </c>
      <c r="AM27" s="194">
        <f t="shared" si="83"/>
        <v>9072.051025273993</v>
      </c>
      <c r="AN27" s="194">
        <f t="shared" si="83"/>
        <v>8942.968923345048</v>
      </c>
      <c r="AO27" s="195">
        <f>AN27</f>
        <v>8942.968923345048</v>
      </c>
      <c r="AP27" s="194">
        <f aca="true" t="shared" si="84" ref="AP27:BA27">AP43+AP59+AP75+AP91</f>
        <v>8813.133842488185</v>
      </c>
      <c r="AQ27" s="194">
        <f t="shared" si="84"/>
        <v>8682.541390326323</v>
      </c>
      <c r="AR27" s="194">
        <f t="shared" si="84"/>
        <v>8551.187148860183</v>
      </c>
      <c r="AS27" s="194">
        <f t="shared" si="84"/>
        <v>8419.066674318825</v>
      </c>
      <c r="AT27" s="194">
        <f t="shared" si="84"/>
        <v>8286.175497009308</v>
      </c>
      <c r="AU27" s="194">
        <f t="shared" si="84"/>
        <v>8152.509121165486</v>
      </c>
      <c r="AV27" s="194">
        <f t="shared" si="84"/>
        <v>8018.063024795909</v>
      </c>
      <c r="AW27" s="194">
        <f t="shared" si="84"/>
        <v>7882.832659530842</v>
      </c>
      <c r="AX27" s="194">
        <f t="shared" si="84"/>
        <v>7746.813450468395</v>
      </c>
      <c r="AY27" s="194">
        <f t="shared" si="84"/>
        <v>7610.000796019751</v>
      </c>
      <c r="AZ27" s="194">
        <f t="shared" si="84"/>
        <v>7472.390067753489</v>
      </c>
      <c r="BA27" s="194">
        <f t="shared" si="84"/>
        <v>7333.976610239009</v>
      </c>
      <c r="BB27" s="195">
        <f>BA27</f>
        <v>7333.976610239009</v>
      </c>
      <c r="BC27" s="194">
        <f aca="true" t="shared" si="85" ref="BC27:BN27">BC43+BC59+BC75+BC91</f>
        <v>7194.755740889026</v>
      </c>
      <c r="BD27" s="194">
        <f t="shared" si="85"/>
        <v>7054.72274980117</v>
      </c>
      <c r="BE27" s="194">
        <f t="shared" si="85"/>
        <v>6913.872899598633</v>
      </c>
      <c r="BF27" s="194">
        <f t="shared" si="85"/>
        <v>6772.2014252699155</v>
      </c>
      <c r="BG27" s="194">
        <f t="shared" si="85"/>
        <v>6629.703534007614</v>
      </c>
      <c r="BH27" s="194">
        <f t="shared" si="85"/>
        <v>6486.374405046282</v>
      </c>
      <c r="BI27" s="194">
        <f t="shared" si="85"/>
        <v>6342.209189499343</v>
      </c>
      <c r="BJ27" s="194">
        <f t="shared" si="85"/>
        <v>6197.203010195046</v>
      </c>
      <c r="BK27" s="194">
        <f t="shared" si="85"/>
        <v>6051.3509615114735</v>
      </c>
      <c r="BL27" s="194">
        <f t="shared" si="85"/>
        <v>5904.6481092105805</v>
      </c>
      <c r="BM27" s="194">
        <f t="shared" si="85"/>
        <v>5757.089490271265</v>
      </c>
      <c r="BN27" s="194">
        <f t="shared" si="85"/>
        <v>5608.670112721472</v>
      </c>
      <c r="BO27" s="195">
        <f>BN27</f>
        <v>5608.670112721472</v>
      </c>
      <c r="BP27" s="194">
        <f aca="true" t="shared" si="86" ref="BP27:CA27">BP43+BP59+BP75+BP91</f>
        <v>5459.384955469304</v>
      </c>
      <c r="BQ27" s="194">
        <f t="shared" si="86"/>
        <v>5309.228968133165</v>
      </c>
      <c r="BR27" s="194">
        <f t="shared" si="86"/>
        <v>5158.197070870899</v>
      </c>
      <c r="BS27" s="194">
        <f t="shared" si="86"/>
        <v>5006.284154207937</v>
      </c>
      <c r="BT27" s="194">
        <f t="shared" si="86"/>
        <v>4853.48507886444</v>
      </c>
      <c r="BU27" s="194">
        <f t="shared" si="86"/>
        <v>4699.794675581439</v>
      </c>
      <c r="BV27" s="194">
        <f t="shared" si="86"/>
        <v>4545.207744945955</v>
      </c>
      <c r="BW27" s="194">
        <f t="shared" si="86"/>
        <v>4389.719057215097</v>
      </c>
      <c r="BX27" s="194">
        <f t="shared" si="86"/>
        <v>4233.323352139141</v>
      </c>
      <c r="BY27" s="194">
        <f t="shared" si="86"/>
        <v>4076.015338783577</v>
      </c>
      <c r="BZ27" s="194">
        <f t="shared" si="86"/>
        <v>3917.7896953501045</v>
      </c>
      <c r="CA27" s="194">
        <f t="shared" si="86"/>
        <v>3758.6410689966037</v>
      </c>
      <c r="CB27" s="195">
        <f>CA27</f>
        <v>3758.6410689966037</v>
      </c>
      <c r="CC27" s="194">
        <f aca="true" t="shared" si="87" ref="CC27:CN27">CC43+CC59+CC75+CC91</f>
        <v>3598.564075656041</v>
      </c>
      <c r="CD27" s="194">
        <f t="shared" si="87"/>
        <v>3437.553299854325</v>
      </c>
      <c r="CE27" s="194">
        <f t="shared" si="87"/>
        <v>3275.6032945270986</v>
      </c>
      <c r="CF27" s="194">
        <f t="shared" si="87"/>
        <v>3112.708580835463</v>
      </c>
      <c r="CG27" s="194">
        <f t="shared" si="87"/>
        <v>2948.863647980627</v>
      </c>
      <c r="CH27" s="194">
        <f t="shared" si="87"/>
        <v>2784.062953017471</v>
      </c>
      <c r="CI27" s="194">
        <f t="shared" si="87"/>
        <v>2618.30092066703</v>
      </c>
      <c r="CJ27" s="194">
        <f t="shared" si="87"/>
        <v>2451.571943127878</v>
      </c>
      <c r="CK27" s="194">
        <f t="shared" si="87"/>
        <v>2283.8703798864144</v>
      </c>
      <c r="CL27" s="194">
        <f t="shared" si="87"/>
        <v>2115.1905575260425</v>
      </c>
      <c r="CM27" s="194">
        <f t="shared" si="87"/>
        <v>1945.5267695352347</v>
      </c>
      <c r="CN27" s="194">
        <f t="shared" si="87"/>
        <v>1774.8732761144806</v>
      </c>
      <c r="CO27" s="195">
        <f>CN27</f>
        <v>1774.8732761144806</v>
      </c>
      <c r="CP27" s="194">
        <f aca="true" t="shared" si="88" ref="CP27:DA27">CP43+CP59+CP75+CP91</f>
        <v>1603.2243039821053</v>
      </c>
      <c r="CQ27" s="194">
        <f t="shared" si="88"/>
        <v>1430.5740461789578</v>
      </c>
      <c r="CR27" s="194">
        <f t="shared" si="88"/>
        <v>1256.9166618719587</v>
      </c>
      <c r="CS27" s="194">
        <f t="shared" si="88"/>
        <v>1082.246276156502</v>
      </c>
      <c r="CT27" s="194">
        <f t="shared" si="88"/>
        <v>906.5569798577052</v>
      </c>
      <c r="CU27" s="194">
        <f t="shared" si="88"/>
        <v>729.8428293304988</v>
      </c>
      <c r="CV27" s="194">
        <f t="shared" si="88"/>
        <v>552.0978462585504</v>
      </c>
      <c r="CW27" s="194">
        <f t="shared" si="88"/>
        <v>373.31601745201556</v>
      </c>
      <c r="CX27" s="194">
        <f t="shared" si="88"/>
        <v>193.49129464410925</v>
      </c>
      <c r="CY27" s="194">
        <f t="shared" si="88"/>
        <v>12.61759428649017</v>
      </c>
      <c r="CZ27" s="194">
        <f t="shared" si="88"/>
        <v>5.064748620497994E-11</v>
      </c>
      <c r="DA27" s="194">
        <f t="shared" si="88"/>
        <v>5.064748620497994E-11</v>
      </c>
      <c r="DB27" s="195">
        <f>DA27</f>
        <v>5.064748620497994E-11</v>
      </c>
      <c r="DC27" s="194">
        <f aca="true" t="shared" si="89" ref="DC27:DN27">DC43+DC59+DC75+DC91</f>
        <v>5.064748620497994E-11</v>
      </c>
      <c r="DD27" s="194">
        <f t="shared" si="89"/>
        <v>5.064748620497994E-11</v>
      </c>
      <c r="DE27" s="194">
        <f t="shared" si="89"/>
        <v>5.064748620497994E-11</v>
      </c>
      <c r="DF27" s="194">
        <f t="shared" si="89"/>
        <v>5.064748620497994E-11</v>
      </c>
      <c r="DG27" s="194">
        <f t="shared" si="89"/>
        <v>5.064748620497994E-11</v>
      </c>
      <c r="DH27" s="194">
        <f t="shared" si="89"/>
        <v>5.064748620497994E-11</v>
      </c>
      <c r="DI27" s="194">
        <f t="shared" si="89"/>
        <v>5.064748620497994E-11</v>
      </c>
      <c r="DJ27" s="194">
        <f t="shared" si="89"/>
        <v>5.064748620497994E-11</v>
      </c>
      <c r="DK27" s="194">
        <f t="shared" si="89"/>
        <v>5.064748620497994E-11</v>
      </c>
      <c r="DL27" s="194">
        <f t="shared" si="89"/>
        <v>5.064748620497994E-11</v>
      </c>
      <c r="DM27" s="194">
        <f t="shared" si="89"/>
        <v>5.064748620497994E-11</v>
      </c>
      <c r="DN27" s="194">
        <f t="shared" si="89"/>
        <v>5.064748620497994E-11</v>
      </c>
      <c r="DO27" s="195">
        <f>DN27</f>
        <v>5.064748620497994E-11</v>
      </c>
    </row>
    <row r="28" spans="1:119" ht="12.75">
      <c r="A28" s="177" t="s">
        <v>78</v>
      </c>
      <c r="B28" s="277">
        <f>Исх!C42*12-Исх!C43</f>
        <v>75</v>
      </c>
      <c r="CP28" s="180"/>
      <c r="DB28" s="177"/>
      <c r="DO28" s="177"/>
    </row>
    <row r="29" spans="1:119" ht="12.75">
      <c r="A29" s="280" t="s">
        <v>250</v>
      </c>
      <c r="B29" s="281">
        <f>$AK$27*$B$20/12/((1-(1+$B$20/12)^-$B$28))</f>
        <v>153.91378092481622</v>
      </c>
      <c r="DB29" s="177"/>
      <c r="DO29" s="177"/>
    </row>
    <row r="30" spans="1:119" ht="6.75" customHeight="1">
      <c r="A30" s="278"/>
      <c r="B30" s="275"/>
      <c r="DB30" s="177"/>
      <c r="DO30" s="177"/>
    </row>
    <row r="31" spans="1:119" ht="12.75">
      <c r="A31" s="263" t="s">
        <v>241</v>
      </c>
      <c r="DB31" s="177"/>
      <c r="DO31" s="177"/>
    </row>
    <row r="32" spans="1:119" ht="12.75" hidden="1" outlineLevel="1">
      <c r="A32" s="264">
        <f>B22+B23-B25</f>
        <v>4.547473508864641E-11</v>
      </c>
      <c r="DB32" s="177"/>
      <c r="DO32" s="177"/>
    </row>
    <row r="33" spans="1:119" ht="12.75" hidden="1" outlineLevel="1">
      <c r="A33" s="264">
        <f>B24-B23-B26</f>
        <v>0</v>
      </c>
      <c r="DB33" s="177"/>
      <c r="DO33" s="177"/>
    </row>
    <row r="34" spans="106:119" ht="12.75" collapsed="1">
      <c r="DB34" s="177"/>
      <c r="DO34" s="177"/>
    </row>
    <row r="35" spans="1:119" ht="12.75" hidden="1">
      <c r="A35" s="289" t="s">
        <v>271</v>
      </c>
      <c r="B35" s="290"/>
      <c r="DB35" s="177"/>
      <c r="DO35" s="177"/>
    </row>
    <row r="36" spans="1:119" ht="15.75" customHeight="1" hidden="1">
      <c r="A36" s="186" t="s">
        <v>11</v>
      </c>
      <c r="B36" s="279">
        <f>Исх!$C$41</f>
        <v>0.07</v>
      </c>
      <c r="C36" s="371">
        <v>2013</v>
      </c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>
        <v>2014</v>
      </c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>
        <v>2015</v>
      </c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>
        <v>2016</v>
      </c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>
        <v>2017</v>
      </c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>
        <v>2018</v>
      </c>
      <c r="BQ36" s="371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71"/>
      <c r="CC36" s="371">
        <v>2019</v>
      </c>
      <c r="CD36" s="371"/>
      <c r="CE36" s="371"/>
      <c r="CF36" s="371"/>
      <c r="CG36" s="371"/>
      <c r="CH36" s="371"/>
      <c r="CI36" s="371"/>
      <c r="CJ36" s="371"/>
      <c r="CK36" s="371"/>
      <c r="CL36" s="371"/>
      <c r="CM36" s="371"/>
      <c r="CN36" s="371"/>
      <c r="CO36" s="371"/>
      <c r="CP36" s="371">
        <v>2020</v>
      </c>
      <c r="CQ36" s="371"/>
      <c r="CR36" s="371"/>
      <c r="CS36" s="371"/>
      <c r="CT36" s="371"/>
      <c r="CU36" s="371"/>
      <c r="CV36" s="371"/>
      <c r="CW36" s="371"/>
      <c r="CX36" s="371"/>
      <c r="CY36" s="371"/>
      <c r="CZ36" s="371"/>
      <c r="DA36" s="371"/>
      <c r="DB36" s="371"/>
      <c r="DC36" s="371">
        <v>2021</v>
      </c>
      <c r="DD36" s="371"/>
      <c r="DE36" s="371"/>
      <c r="DF36" s="371"/>
      <c r="DG36" s="371"/>
      <c r="DH36" s="371"/>
      <c r="DI36" s="371"/>
      <c r="DJ36" s="371"/>
      <c r="DK36" s="371"/>
      <c r="DL36" s="371"/>
      <c r="DM36" s="371"/>
      <c r="DN36" s="371"/>
      <c r="DO36" s="371"/>
    </row>
    <row r="37" spans="1:119" s="192" customFormat="1" ht="15" customHeight="1" hidden="1">
      <c r="A37" s="188" t="s">
        <v>9</v>
      </c>
      <c r="B37" s="189" t="s">
        <v>89</v>
      </c>
      <c r="C37" s="190">
        <v>1</v>
      </c>
      <c r="D37" s="190">
        <v>2</v>
      </c>
      <c r="E37" s="190">
        <f aca="true" t="shared" si="90" ref="E37:N37">D37+1</f>
        <v>3</v>
      </c>
      <c r="F37" s="190">
        <f t="shared" si="90"/>
        <v>4</v>
      </c>
      <c r="G37" s="190">
        <f t="shared" si="90"/>
        <v>5</v>
      </c>
      <c r="H37" s="190">
        <f t="shared" si="90"/>
        <v>6</v>
      </c>
      <c r="I37" s="190">
        <f t="shared" si="90"/>
        <v>7</v>
      </c>
      <c r="J37" s="190">
        <f t="shared" si="90"/>
        <v>8</v>
      </c>
      <c r="K37" s="190">
        <f t="shared" si="90"/>
        <v>9</v>
      </c>
      <c r="L37" s="190">
        <f t="shared" si="90"/>
        <v>10</v>
      </c>
      <c r="M37" s="190">
        <f t="shared" si="90"/>
        <v>11</v>
      </c>
      <c r="N37" s="190">
        <f t="shared" si="90"/>
        <v>12</v>
      </c>
      <c r="O37" s="191" t="str">
        <f>O21</f>
        <v>Итого</v>
      </c>
      <c r="P37" s="190">
        <v>1</v>
      </c>
      <c r="Q37" s="190">
        <v>2</v>
      </c>
      <c r="R37" s="190">
        <f aca="true" t="shared" si="91" ref="R37:AA37">Q37+1</f>
        <v>3</v>
      </c>
      <c r="S37" s="190">
        <f t="shared" si="91"/>
        <v>4</v>
      </c>
      <c r="T37" s="190">
        <f t="shared" si="91"/>
        <v>5</v>
      </c>
      <c r="U37" s="190">
        <f t="shared" si="91"/>
        <v>6</v>
      </c>
      <c r="V37" s="190">
        <f t="shared" si="91"/>
        <v>7</v>
      </c>
      <c r="W37" s="190">
        <f t="shared" si="91"/>
        <v>8</v>
      </c>
      <c r="X37" s="190">
        <f t="shared" si="91"/>
        <v>9</v>
      </c>
      <c r="Y37" s="190">
        <f t="shared" si="91"/>
        <v>10</v>
      </c>
      <c r="Z37" s="190">
        <f t="shared" si="91"/>
        <v>11</v>
      </c>
      <c r="AA37" s="190">
        <f t="shared" si="91"/>
        <v>12</v>
      </c>
      <c r="AB37" s="191" t="str">
        <f>AB21</f>
        <v>Итого</v>
      </c>
      <c r="AC37" s="190">
        <v>1</v>
      </c>
      <c r="AD37" s="190">
        <v>2</v>
      </c>
      <c r="AE37" s="190">
        <f aca="true" t="shared" si="92" ref="AE37:AN37">AD37+1</f>
        <v>3</v>
      </c>
      <c r="AF37" s="190">
        <f t="shared" si="92"/>
        <v>4</v>
      </c>
      <c r="AG37" s="190">
        <f t="shared" si="92"/>
        <v>5</v>
      </c>
      <c r="AH37" s="190">
        <f t="shared" si="92"/>
        <v>6</v>
      </c>
      <c r="AI37" s="190">
        <f t="shared" si="92"/>
        <v>7</v>
      </c>
      <c r="AJ37" s="190">
        <f t="shared" si="92"/>
        <v>8</v>
      </c>
      <c r="AK37" s="190">
        <f t="shared" si="92"/>
        <v>9</v>
      </c>
      <c r="AL37" s="190">
        <f t="shared" si="92"/>
        <v>10</v>
      </c>
      <c r="AM37" s="190">
        <f t="shared" si="92"/>
        <v>11</v>
      </c>
      <c r="AN37" s="190">
        <f t="shared" si="92"/>
        <v>12</v>
      </c>
      <c r="AO37" s="191" t="str">
        <f>AO21</f>
        <v>Итого</v>
      </c>
      <c r="AP37" s="190">
        <v>1</v>
      </c>
      <c r="AQ37" s="190">
        <v>2</v>
      </c>
      <c r="AR37" s="190">
        <f aca="true" t="shared" si="93" ref="AR37:BA37">AQ37+1</f>
        <v>3</v>
      </c>
      <c r="AS37" s="190">
        <f t="shared" si="93"/>
        <v>4</v>
      </c>
      <c r="AT37" s="190">
        <f t="shared" si="93"/>
        <v>5</v>
      </c>
      <c r="AU37" s="190">
        <f t="shared" si="93"/>
        <v>6</v>
      </c>
      <c r="AV37" s="190">
        <f t="shared" si="93"/>
        <v>7</v>
      </c>
      <c r="AW37" s="190">
        <f t="shared" si="93"/>
        <v>8</v>
      </c>
      <c r="AX37" s="190">
        <f t="shared" si="93"/>
        <v>9</v>
      </c>
      <c r="AY37" s="190">
        <f t="shared" si="93"/>
        <v>10</v>
      </c>
      <c r="AZ37" s="190">
        <f t="shared" si="93"/>
        <v>11</v>
      </c>
      <c r="BA37" s="190">
        <f t="shared" si="93"/>
        <v>12</v>
      </c>
      <c r="BB37" s="191" t="str">
        <f>BB21</f>
        <v>Итого</v>
      </c>
      <c r="BC37" s="190">
        <v>1</v>
      </c>
      <c r="BD37" s="190">
        <v>2</v>
      </c>
      <c r="BE37" s="190">
        <f aca="true" t="shared" si="94" ref="BE37:BN37">BD37+1</f>
        <v>3</v>
      </c>
      <c r="BF37" s="190">
        <f t="shared" si="94"/>
        <v>4</v>
      </c>
      <c r="BG37" s="190">
        <f t="shared" si="94"/>
        <v>5</v>
      </c>
      <c r="BH37" s="190">
        <f t="shared" si="94"/>
        <v>6</v>
      </c>
      <c r="BI37" s="190">
        <f t="shared" si="94"/>
        <v>7</v>
      </c>
      <c r="BJ37" s="190">
        <f t="shared" si="94"/>
        <v>8</v>
      </c>
      <c r="BK37" s="190">
        <f t="shared" si="94"/>
        <v>9</v>
      </c>
      <c r="BL37" s="190">
        <f t="shared" si="94"/>
        <v>10</v>
      </c>
      <c r="BM37" s="190">
        <f t="shared" si="94"/>
        <v>11</v>
      </c>
      <c r="BN37" s="190">
        <f t="shared" si="94"/>
        <v>12</v>
      </c>
      <c r="BO37" s="191" t="str">
        <f>BO21</f>
        <v>Итого</v>
      </c>
      <c r="BP37" s="190">
        <v>1</v>
      </c>
      <c r="BQ37" s="190">
        <v>2</v>
      </c>
      <c r="BR37" s="190">
        <f aca="true" t="shared" si="95" ref="BR37:CA37">BQ37+1</f>
        <v>3</v>
      </c>
      <c r="BS37" s="190">
        <f t="shared" si="95"/>
        <v>4</v>
      </c>
      <c r="BT37" s="190">
        <f t="shared" si="95"/>
        <v>5</v>
      </c>
      <c r="BU37" s="190">
        <f t="shared" si="95"/>
        <v>6</v>
      </c>
      <c r="BV37" s="190">
        <f t="shared" si="95"/>
        <v>7</v>
      </c>
      <c r="BW37" s="190">
        <f t="shared" si="95"/>
        <v>8</v>
      </c>
      <c r="BX37" s="190">
        <f t="shared" si="95"/>
        <v>9</v>
      </c>
      <c r="BY37" s="190">
        <f t="shared" si="95"/>
        <v>10</v>
      </c>
      <c r="BZ37" s="190">
        <f t="shared" si="95"/>
        <v>11</v>
      </c>
      <c r="CA37" s="190">
        <f t="shared" si="95"/>
        <v>12</v>
      </c>
      <c r="CB37" s="191" t="str">
        <f>CB21</f>
        <v>Итого</v>
      </c>
      <c r="CC37" s="190">
        <v>1</v>
      </c>
      <c r="CD37" s="190">
        <v>2</v>
      </c>
      <c r="CE37" s="190">
        <f aca="true" t="shared" si="96" ref="CE37:CN37">CD37+1</f>
        <v>3</v>
      </c>
      <c r="CF37" s="190">
        <f t="shared" si="96"/>
        <v>4</v>
      </c>
      <c r="CG37" s="190">
        <f t="shared" si="96"/>
        <v>5</v>
      </c>
      <c r="CH37" s="190">
        <f t="shared" si="96"/>
        <v>6</v>
      </c>
      <c r="CI37" s="190">
        <f t="shared" si="96"/>
        <v>7</v>
      </c>
      <c r="CJ37" s="190">
        <f t="shared" si="96"/>
        <v>8</v>
      </c>
      <c r="CK37" s="190">
        <f t="shared" si="96"/>
        <v>9</v>
      </c>
      <c r="CL37" s="190">
        <f t="shared" si="96"/>
        <v>10</v>
      </c>
      <c r="CM37" s="190">
        <f t="shared" si="96"/>
        <v>11</v>
      </c>
      <c r="CN37" s="190">
        <f t="shared" si="96"/>
        <v>12</v>
      </c>
      <c r="CO37" s="191" t="str">
        <f>CO21</f>
        <v>Итого</v>
      </c>
      <c r="CP37" s="190">
        <v>1</v>
      </c>
      <c r="CQ37" s="190">
        <f aca="true" t="shared" si="97" ref="CQ37:DA37">CP37+1</f>
        <v>2</v>
      </c>
      <c r="CR37" s="190">
        <f t="shared" si="97"/>
        <v>3</v>
      </c>
      <c r="CS37" s="190">
        <f t="shared" si="97"/>
        <v>4</v>
      </c>
      <c r="CT37" s="190">
        <f t="shared" si="97"/>
        <v>5</v>
      </c>
      <c r="CU37" s="190">
        <f t="shared" si="97"/>
        <v>6</v>
      </c>
      <c r="CV37" s="190">
        <f t="shared" si="97"/>
        <v>7</v>
      </c>
      <c r="CW37" s="190">
        <f t="shared" si="97"/>
        <v>8</v>
      </c>
      <c r="CX37" s="190">
        <f t="shared" si="97"/>
        <v>9</v>
      </c>
      <c r="CY37" s="190">
        <f t="shared" si="97"/>
        <v>10</v>
      </c>
      <c r="CZ37" s="190">
        <f t="shared" si="97"/>
        <v>11</v>
      </c>
      <c r="DA37" s="190">
        <f t="shared" si="97"/>
        <v>12</v>
      </c>
      <c r="DB37" s="191" t="str">
        <f>DB21</f>
        <v>Итого</v>
      </c>
      <c r="DC37" s="190">
        <v>1</v>
      </c>
      <c r="DD37" s="190">
        <f aca="true" t="shared" si="98" ref="DD37:DN37">DC37+1</f>
        <v>2</v>
      </c>
      <c r="DE37" s="190">
        <f t="shared" si="98"/>
        <v>3</v>
      </c>
      <c r="DF37" s="190">
        <f t="shared" si="98"/>
        <v>4</v>
      </c>
      <c r="DG37" s="190">
        <f t="shared" si="98"/>
        <v>5</v>
      </c>
      <c r="DH37" s="190">
        <f t="shared" si="98"/>
        <v>6</v>
      </c>
      <c r="DI37" s="190">
        <f t="shared" si="98"/>
        <v>7</v>
      </c>
      <c r="DJ37" s="190">
        <f t="shared" si="98"/>
        <v>8</v>
      </c>
      <c r="DK37" s="190">
        <f t="shared" si="98"/>
        <v>9</v>
      </c>
      <c r="DL37" s="190">
        <f t="shared" si="98"/>
        <v>10</v>
      </c>
      <c r="DM37" s="190">
        <f t="shared" si="98"/>
        <v>11</v>
      </c>
      <c r="DN37" s="190">
        <f t="shared" si="98"/>
        <v>12</v>
      </c>
      <c r="DO37" s="191" t="s">
        <v>0</v>
      </c>
    </row>
    <row r="38" spans="1:119" ht="12.75" hidden="1">
      <c r="A38" s="188" t="s">
        <v>106</v>
      </c>
      <c r="B38" s="193">
        <f>O38+AB38+AO38+BB38+BO38+CB38+CO38+DB38+DO38</f>
        <v>0</v>
      </c>
      <c r="C38" s="194"/>
      <c r="D38" s="194"/>
      <c r="E38" s="194"/>
      <c r="F38" s="194"/>
      <c r="G38" s="194"/>
      <c r="H38" s="194"/>
      <c r="I38" s="194"/>
      <c r="J38" s="194">
        <f>'1-Ф3'!K$29</f>
        <v>0</v>
      </c>
      <c r="K38" s="194"/>
      <c r="L38" s="194"/>
      <c r="M38" s="194"/>
      <c r="N38" s="194"/>
      <c r="O38" s="195">
        <f>SUM(C38:N38)</f>
        <v>0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>
        <f>SUM(P38:AA38)</f>
        <v>0</v>
      </c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>
        <f>SUM(AC38:AN38)</f>
        <v>0</v>
      </c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</row>
    <row r="39" spans="1:119" s="197" customFormat="1" ht="20.25" customHeight="1" hidden="1">
      <c r="A39" s="188" t="s">
        <v>31</v>
      </c>
      <c r="B39" s="193">
        <f>O39+AB39+AO39+BB39+BO39+CB39+CO39+DB39+DO39</f>
        <v>0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>
        <f>SUM(C39:N39)</f>
        <v>0</v>
      </c>
      <c r="P39" s="194"/>
      <c r="Q39" s="194"/>
      <c r="R39" s="194"/>
      <c r="S39" s="194"/>
      <c r="T39" s="194">
        <f>SUM(O40:T40)</f>
        <v>0</v>
      </c>
      <c r="U39" s="194"/>
      <c r="V39" s="194"/>
      <c r="W39" s="194"/>
      <c r="X39" s="194"/>
      <c r="Y39" s="194"/>
      <c r="Z39" s="194"/>
      <c r="AA39" s="194"/>
      <c r="AB39" s="195">
        <f>SUM(P39:AA39)</f>
        <v>0</v>
      </c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5">
        <f>SUM(AC39:AN39)</f>
        <v>0</v>
      </c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>
        <f>SUM(AP39:BA39)</f>
        <v>0</v>
      </c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5">
        <f>SUM(BC39:BN39)</f>
        <v>0</v>
      </c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5">
        <f>SUM(BP39:CA39)</f>
        <v>0</v>
      </c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5">
        <f>SUM(CC39:CN39)</f>
        <v>0</v>
      </c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5">
        <f>SUM(CP39:DA39)</f>
        <v>0</v>
      </c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5">
        <f>SUM(DC39:DN39)</f>
        <v>0</v>
      </c>
    </row>
    <row r="40" spans="1:119" s="197" customFormat="1" ht="12.75" hidden="1">
      <c r="A40" s="198" t="s">
        <v>13</v>
      </c>
      <c r="B40" s="193">
        <f>O40+AB40+AO40+BB40+BO40+CB40+CO40+DB40+DO40</f>
        <v>0</v>
      </c>
      <c r="C40" s="194"/>
      <c r="D40" s="194">
        <f aca="true" t="shared" si="99" ref="D40:N40">C43*$B36/12</f>
        <v>0</v>
      </c>
      <c r="E40" s="194">
        <f t="shared" si="99"/>
        <v>0</v>
      </c>
      <c r="F40" s="194">
        <f t="shared" si="99"/>
        <v>0</v>
      </c>
      <c r="G40" s="194">
        <f t="shared" si="99"/>
        <v>0</v>
      </c>
      <c r="H40" s="194">
        <f t="shared" si="99"/>
        <v>0</v>
      </c>
      <c r="I40" s="194">
        <f t="shared" si="99"/>
        <v>0</v>
      </c>
      <c r="J40" s="194">
        <f t="shared" si="99"/>
        <v>0</v>
      </c>
      <c r="K40" s="194">
        <f t="shared" si="99"/>
        <v>0</v>
      </c>
      <c r="L40" s="194">
        <f t="shared" si="99"/>
        <v>0</v>
      </c>
      <c r="M40" s="194">
        <f t="shared" si="99"/>
        <v>0</v>
      </c>
      <c r="N40" s="194">
        <f t="shared" si="99"/>
        <v>0</v>
      </c>
      <c r="O40" s="195">
        <f>SUM(C40:N40)</f>
        <v>0</v>
      </c>
      <c r="P40" s="194">
        <f aca="true" t="shared" si="100" ref="P40:AA40">O43*$B36/12</f>
        <v>0</v>
      </c>
      <c r="Q40" s="194">
        <f t="shared" si="100"/>
        <v>0</v>
      </c>
      <c r="R40" s="194">
        <f t="shared" si="100"/>
        <v>0</v>
      </c>
      <c r="S40" s="194">
        <f t="shared" si="100"/>
        <v>0</v>
      </c>
      <c r="T40" s="194">
        <f t="shared" si="100"/>
        <v>0</v>
      </c>
      <c r="U40" s="194">
        <f t="shared" si="100"/>
        <v>0</v>
      </c>
      <c r="V40" s="194">
        <f t="shared" si="100"/>
        <v>0</v>
      </c>
      <c r="W40" s="194">
        <f t="shared" si="100"/>
        <v>0</v>
      </c>
      <c r="X40" s="194">
        <f t="shared" si="100"/>
        <v>0</v>
      </c>
      <c r="Y40" s="194">
        <f t="shared" si="100"/>
        <v>0</v>
      </c>
      <c r="Z40" s="194">
        <f t="shared" si="100"/>
        <v>0</v>
      </c>
      <c r="AA40" s="194">
        <f t="shared" si="100"/>
        <v>0</v>
      </c>
      <c r="AB40" s="195">
        <f>SUM(P40:AA40)</f>
        <v>0</v>
      </c>
      <c r="AC40" s="194">
        <f aca="true" t="shared" si="101" ref="AC40:AN40">AB43*$B36/12</f>
        <v>0</v>
      </c>
      <c r="AD40" s="194">
        <f t="shared" si="101"/>
        <v>0</v>
      </c>
      <c r="AE40" s="194">
        <f t="shared" si="101"/>
        <v>0</v>
      </c>
      <c r="AF40" s="194">
        <f t="shared" si="101"/>
        <v>0</v>
      </c>
      <c r="AG40" s="194">
        <f t="shared" si="101"/>
        <v>0</v>
      </c>
      <c r="AH40" s="194">
        <f t="shared" si="101"/>
        <v>0</v>
      </c>
      <c r="AI40" s="194">
        <f t="shared" si="101"/>
        <v>0</v>
      </c>
      <c r="AJ40" s="194">
        <f t="shared" si="101"/>
        <v>0</v>
      </c>
      <c r="AK40" s="194">
        <f t="shared" si="101"/>
        <v>0</v>
      </c>
      <c r="AL40" s="194">
        <f t="shared" si="101"/>
        <v>0</v>
      </c>
      <c r="AM40" s="194">
        <f t="shared" si="101"/>
        <v>0</v>
      </c>
      <c r="AN40" s="194">
        <f t="shared" si="101"/>
        <v>0</v>
      </c>
      <c r="AO40" s="195">
        <f>SUM(AC40:AN40)</f>
        <v>0</v>
      </c>
      <c r="AP40" s="194">
        <f aca="true" t="shared" si="102" ref="AP40:BA40">AO43*$B36/12</f>
        <v>0</v>
      </c>
      <c r="AQ40" s="194">
        <f t="shared" si="102"/>
        <v>0</v>
      </c>
      <c r="AR40" s="194">
        <f t="shared" si="102"/>
        <v>0</v>
      </c>
      <c r="AS40" s="194">
        <f t="shared" si="102"/>
        <v>0</v>
      </c>
      <c r="AT40" s="194">
        <f t="shared" si="102"/>
        <v>0</v>
      </c>
      <c r="AU40" s="194">
        <f t="shared" si="102"/>
        <v>0</v>
      </c>
      <c r="AV40" s="194">
        <f t="shared" si="102"/>
        <v>0</v>
      </c>
      <c r="AW40" s="194">
        <f t="shared" si="102"/>
        <v>0</v>
      </c>
      <c r="AX40" s="194">
        <f t="shared" si="102"/>
        <v>0</v>
      </c>
      <c r="AY40" s="194">
        <f t="shared" si="102"/>
        <v>0</v>
      </c>
      <c r="AZ40" s="194">
        <f t="shared" si="102"/>
        <v>0</v>
      </c>
      <c r="BA40" s="194">
        <f t="shared" si="102"/>
        <v>0</v>
      </c>
      <c r="BB40" s="195">
        <f>SUM(AP40:BA40)</f>
        <v>0</v>
      </c>
      <c r="BC40" s="194">
        <f aca="true" t="shared" si="103" ref="BC40:BN40">BB43*$B36/12</f>
        <v>0</v>
      </c>
      <c r="BD40" s="194">
        <f t="shared" si="103"/>
        <v>0</v>
      </c>
      <c r="BE40" s="194">
        <f t="shared" si="103"/>
        <v>0</v>
      </c>
      <c r="BF40" s="194">
        <f t="shared" si="103"/>
        <v>0</v>
      </c>
      <c r="BG40" s="194">
        <f t="shared" si="103"/>
        <v>0</v>
      </c>
      <c r="BH40" s="194">
        <f t="shared" si="103"/>
        <v>0</v>
      </c>
      <c r="BI40" s="194">
        <f t="shared" si="103"/>
        <v>0</v>
      </c>
      <c r="BJ40" s="194">
        <f t="shared" si="103"/>
        <v>0</v>
      </c>
      <c r="BK40" s="194">
        <f t="shared" si="103"/>
        <v>0</v>
      </c>
      <c r="BL40" s="194">
        <f t="shared" si="103"/>
        <v>0</v>
      </c>
      <c r="BM40" s="194">
        <f t="shared" si="103"/>
        <v>0</v>
      </c>
      <c r="BN40" s="194">
        <f t="shared" si="103"/>
        <v>0</v>
      </c>
      <c r="BO40" s="195">
        <f>SUM(BC40:BN40)</f>
        <v>0</v>
      </c>
      <c r="BP40" s="194">
        <f aca="true" t="shared" si="104" ref="BP40:CA40">BO43*$B36/12</f>
        <v>0</v>
      </c>
      <c r="BQ40" s="194">
        <f t="shared" si="104"/>
        <v>0</v>
      </c>
      <c r="BR40" s="194">
        <f t="shared" si="104"/>
        <v>0</v>
      </c>
      <c r="BS40" s="194">
        <f t="shared" si="104"/>
        <v>0</v>
      </c>
      <c r="BT40" s="194">
        <f t="shared" si="104"/>
        <v>0</v>
      </c>
      <c r="BU40" s="194">
        <f t="shared" si="104"/>
        <v>0</v>
      </c>
      <c r="BV40" s="194">
        <f t="shared" si="104"/>
        <v>0</v>
      </c>
      <c r="BW40" s="194">
        <f t="shared" si="104"/>
        <v>0</v>
      </c>
      <c r="BX40" s="194">
        <f t="shared" si="104"/>
        <v>0</v>
      </c>
      <c r="BY40" s="194">
        <f t="shared" si="104"/>
        <v>0</v>
      </c>
      <c r="BZ40" s="194">
        <f t="shared" si="104"/>
        <v>0</v>
      </c>
      <c r="CA40" s="194">
        <f t="shared" si="104"/>
        <v>0</v>
      </c>
      <c r="CB40" s="195">
        <f>SUM(BP40:CA40)</f>
        <v>0</v>
      </c>
      <c r="CC40" s="194">
        <f aca="true" t="shared" si="105" ref="CC40:CN40">CB43*$B36/12</f>
        <v>0</v>
      </c>
      <c r="CD40" s="194">
        <f t="shared" si="105"/>
        <v>0</v>
      </c>
      <c r="CE40" s="194">
        <f t="shared" si="105"/>
        <v>0</v>
      </c>
      <c r="CF40" s="194">
        <f t="shared" si="105"/>
        <v>0</v>
      </c>
      <c r="CG40" s="194">
        <f t="shared" si="105"/>
        <v>0</v>
      </c>
      <c r="CH40" s="194">
        <f t="shared" si="105"/>
        <v>0</v>
      </c>
      <c r="CI40" s="194">
        <f t="shared" si="105"/>
        <v>0</v>
      </c>
      <c r="CJ40" s="194">
        <f t="shared" si="105"/>
        <v>0</v>
      </c>
      <c r="CK40" s="194">
        <f t="shared" si="105"/>
        <v>0</v>
      </c>
      <c r="CL40" s="194">
        <f t="shared" si="105"/>
        <v>0</v>
      </c>
      <c r="CM40" s="194">
        <f t="shared" si="105"/>
        <v>0</v>
      </c>
      <c r="CN40" s="194">
        <f t="shared" si="105"/>
        <v>0</v>
      </c>
      <c r="CO40" s="195">
        <f>SUM(CC40:CN40)</f>
        <v>0</v>
      </c>
      <c r="CP40" s="194">
        <f aca="true" t="shared" si="106" ref="CP40:DA40">CO43*$B36/12</f>
        <v>0</v>
      </c>
      <c r="CQ40" s="194">
        <f t="shared" si="106"/>
        <v>0</v>
      </c>
      <c r="CR40" s="194">
        <f t="shared" si="106"/>
        <v>0</v>
      </c>
      <c r="CS40" s="194">
        <f t="shared" si="106"/>
        <v>0</v>
      </c>
      <c r="CT40" s="194">
        <f t="shared" si="106"/>
        <v>0</v>
      </c>
      <c r="CU40" s="194">
        <f t="shared" si="106"/>
        <v>0</v>
      </c>
      <c r="CV40" s="194">
        <f t="shared" si="106"/>
        <v>0</v>
      </c>
      <c r="CW40" s="194">
        <f t="shared" si="106"/>
        <v>0</v>
      </c>
      <c r="CX40" s="194">
        <f t="shared" si="106"/>
        <v>0</v>
      </c>
      <c r="CY40" s="194">
        <f t="shared" si="106"/>
        <v>0</v>
      </c>
      <c r="CZ40" s="194">
        <f t="shared" si="106"/>
        <v>0</v>
      </c>
      <c r="DA40" s="194">
        <f t="shared" si="106"/>
        <v>0</v>
      </c>
      <c r="DB40" s="195">
        <f>SUM(CP40:DA40)</f>
        <v>0</v>
      </c>
      <c r="DC40" s="194">
        <f aca="true" t="shared" si="107" ref="DC40:DN40">DB43*$B36/12</f>
        <v>0</v>
      </c>
      <c r="DD40" s="194">
        <f t="shared" si="107"/>
        <v>0</v>
      </c>
      <c r="DE40" s="194">
        <f t="shared" si="107"/>
        <v>0</v>
      </c>
      <c r="DF40" s="194">
        <f t="shared" si="107"/>
        <v>0</v>
      </c>
      <c r="DG40" s="194">
        <f t="shared" si="107"/>
        <v>0</v>
      </c>
      <c r="DH40" s="194">
        <f t="shared" si="107"/>
        <v>0</v>
      </c>
      <c r="DI40" s="194">
        <f t="shared" si="107"/>
        <v>0</v>
      </c>
      <c r="DJ40" s="194">
        <f t="shared" si="107"/>
        <v>0</v>
      </c>
      <c r="DK40" s="194">
        <f t="shared" si="107"/>
        <v>0</v>
      </c>
      <c r="DL40" s="194">
        <f t="shared" si="107"/>
        <v>0</v>
      </c>
      <c r="DM40" s="194">
        <f t="shared" si="107"/>
        <v>0</v>
      </c>
      <c r="DN40" s="194">
        <f t="shared" si="107"/>
        <v>0</v>
      </c>
      <c r="DO40" s="195">
        <f>SUM(DC40:DN40)</f>
        <v>0</v>
      </c>
    </row>
    <row r="41" spans="1:119" ht="12.75" hidden="1">
      <c r="A41" s="188" t="s">
        <v>14</v>
      </c>
      <c r="B41" s="193">
        <f>O41+AB41+AO41+BB41+BO41+CB41+CO41+DB41+DO41</f>
        <v>0</v>
      </c>
      <c r="C41" s="194"/>
      <c r="D41" s="194"/>
      <c r="E41" s="194"/>
      <c r="F41" s="194"/>
      <c r="G41" s="194"/>
      <c r="H41" s="194"/>
      <c r="I41" s="194"/>
      <c r="J41" s="194"/>
      <c r="K41" s="199"/>
      <c r="L41" s="199"/>
      <c r="M41" s="199"/>
      <c r="N41" s="199"/>
      <c r="O41" s="195">
        <f>SUM(C41:N41)</f>
        <v>0</v>
      </c>
      <c r="P41" s="199"/>
      <c r="Q41" s="199"/>
      <c r="R41" s="199"/>
      <c r="S41" s="199"/>
      <c r="T41" s="199"/>
      <c r="U41" s="194">
        <f>$B45-U40</f>
        <v>0</v>
      </c>
      <c r="V41" s="194">
        <f aca="true" t="shared" si="108" ref="V41:AA41">$B45-V40</f>
        <v>0</v>
      </c>
      <c r="W41" s="194">
        <f t="shared" si="108"/>
        <v>0</v>
      </c>
      <c r="X41" s="194">
        <f t="shared" si="108"/>
        <v>0</v>
      </c>
      <c r="Y41" s="194">
        <f t="shared" si="108"/>
        <v>0</v>
      </c>
      <c r="Z41" s="194">
        <f t="shared" si="108"/>
        <v>0</v>
      </c>
      <c r="AA41" s="194">
        <f t="shared" si="108"/>
        <v>0</v>
      </c>
      <c r="AB41" s="195">
        <f>SUM(P41:AA41)</f>
        <v>0</v>
      </c>
      <c r="AC41" s="194">
        <f aca="true" t="shared" si="109" ref="AC41:AN41">$B45-AC40</f>
        <v>0</v>
      </c>
      <c r="AD41" s="194">
        <f t="shared" si="109"/>
        <v>0</v>
      </c>
      <c r="AE41" s="194">
        <f t="shared" si="109"/>
        <v>0</v>
      </c>
      <c r="AF41" s="194">
        <f t="shared" si="109"/>
        <v>0</v>
      </c>
      <c r="AG41" s="194">
        <f t="shared" si="109"/>
        <v>0</v>
      </c>
      <c r="AH41" s="194">
        <f t="shared" si="109"/>
        <v>0</v>
      </c>
      <c r="AI41" s="194">
        <f t="shared" si="109"/>
        <v>0</v>
      </c>
      <c r="AJ41" s="194">
        <f t="shared" si="109"/>
        <v>0</v>
      </c>
      <c r="AK41" s="194">
        <f t="shared" si="109"/>
        <v>0</v>
      </c>
      <c r="AL41" s="194">
        <f t="shared" si="109"/>
        <v>0</v>
      </c>
      <c r="AM41" s="194">
        <f t="shared" si="109"/>
        <v>0</v>
      </c>
      <c r="AN41" s="194">
        <f t="shared" si="109"/>
        <v>0</v>
      </c>
      <c r="AO41" s="195">
        <f>SUM(AC41:AN41)</f>
        <v>0</v>
      </c>
      <c r="AP41" s="194">
        <f aca="true" t="shared" si="110" ref="AP41:BA41">$B45-AP40</f>
        <v>0</v>
      </c>
      <c r="AQ41" s="194">
        <f t="shared" si="110"/>
        <v>0</v>
      </c>
      <c r="AR41" s="194">
        <f t="shared" si="110"/>
        <v>0</v>
      </c>
      <c r="AS41" s="194">
        <f t="shared" si="110"/>
        <v>0</v>
      </c>
      <c r="AT41" s="194">
        <f t="shared" si="110"/>
        <v>0</v>
      </c>
      <c r="AU41" s="194">
        <f t="shared" si="110"/>
        <v>0</v>
      </c>
      <c r="AV41" s="194">
        <f t="shared" si="110"/>
        <v>0</v>
      </c>
      <c r="AW41" s="194">
        <f t="shared" si="110"/>
        <v>0</v>
      </c>
      <c r="AX41" s="194">
        <f t="shared" si="110"/>
        <v>0</v>
      </c>
      <c r="AY41" s="194">
        <f t="shared" si="110"/>
        <v>0</v>
      </c>
      <c r="AZ41" s="194">
        <f t="shared" si="110"/>
        <v>0</v>
      </c>
      <c r="BA41" s="194">
        <f t="shared" si="110"/>
        <v>0</v>
      </c>
      <c r="BB41" s="195">
        <f>SUM(AP41:BA41)</f>
        <v>0</v>
      </c>
      <c r="BC41" s="194">
        <f aca="true" t="shared" si="111" ref="BC41:BN41">$B45-BC40</f>
        <v>0</v>
      </c>
      <c r="BD41" s="194">
        <f t="shared" si="111"/>
        <v>0</v>
      </c>
      <c r="BE41" s="194">
        <f t="shared" si="111"/>
        <v>0</v>
      </c>
      <c r="BF41" s="194">
        <f t="shared" si="111"/>
        <v>0</v>
      </c>
      <c r="BG41" s="194">
        <f t="shared" si="111"/>
        <v>0</v>
      </c>
      <c r="BH41" s="194">
        <f t="shared" si="111"/>
        <v>0</v>
      </c>
      <c r="BI41" s="194">
        <f t="shared" si="111"/>
        <v>0</v>
      </c>
      <c r="BJ41" s="194">
        <f t="shared" si="111"/>
        <v>0</v>
      </c>
      <c r="BK41" s="194">
        <f t="shared" si="111"/>
        <v>0</v>
      </c>
      <c r="BL41" s="194">
        <f t="shared" si="111"/>
        <v>0</v>
      </c>
      <c r="BM41" s="194">
        <f t="shared" si="111"/>
        <v>0</v>
      </c>
      <c r="BN41" s="194">
        <f t="shared" si="111"/>
        <v>0</v>
      </c>
      <c r="BO41" s="195">
        <f>SUM(BC41:BN41)</f>
        <v>0</v>
      </c>
      <c r="BP41" s="194">
        <f aca="true" t="shared" si="112" ref="BP41:CA41">$B45-BP40</f>
        <v>0</v>
      </c>
      <c r="BQ41" s="194">
        <f t="shared" si="112"/>
        <v>0</v>
      </c>
      <c r="BR41" s="194">
        <f t="shared" si="112"/>
        <v>0</v>
      </c>
      <c r="BS41" s="194">
        <f t="shared" si="112"/>
        <v>0</v>
      </c>
      <c r="BT41" s="194">
        <f t="shared" si="112"/>
        <v>0</v>
      </c>
      <c r="BU41" s="194">
        <f t="shared" si="112"/>
        <v>0</v>
      </c>
      <c r="BV41" s="194">
        <f t="shared" si="112"/>
        <v>0</v>
      </c>
      <c r="BW41" s="194">
        <f t="shared" si="112"/>
        <v>0</v>
      </c>
      <c r="BX41" s="194">
        <f t="shared" si="112"/>
        <v>0</v>
      </c>
      <c r="BY41" s="194">
        <f t="shared" si="112"/>
        <v>0</v>
      </c>
      <c r="BZ41" s="194">
        <f t="shared" si="112"/>
        <v>0</v>
      </c>
      <c r="CA41" s="194">
        <f t="shared" si="112"/>
        <v>0</v>
      </c>
      <c r="CB41" s="195">
        <f>SUM(BP41:CA41)</f>
        <v>0</v>
      </c>
      <c r="CC41" s="194">
        <f aca="true" t="shared" si="113" ref="CC41:CN41">$B45-CC40</f>
        <v>0</v>
      </c>
      <c r="CD41" s="194">
        <f t="shared" si="113"/>
        <v>0</v>
      </c>
      <c r="CE41" s="194">
        <f t="shared" si="113"/>
        <v>0</v>
      </c>
      <c r="CF41" s="194">
        <f t="shared" si="113"/>
        <v>0</v>
      </c>
      <c r="CG41" s="194">
        <f t="shared" si="113"/>
        <v>0</v>
      </c>
      <c r="CH41" s="194">
        <f t="shared" si="113"/>
        <v>0</v>
      </c>
      <c r="CI41" s="194">
        <f t="shared" si="113"/>
        <v>0</v>
      </c>
      <c r="CJ41" s="194">
        <f t="shared" si="113"/>
        <v>0</v>
      </c>
      <c r="CK41" s="194">
        <f t="shared" si="113"/>
        <v>0</v>
      </c>
      <c r="CL41" s="194">
        <f t="shared" si="113"/>
        <v>0</v>
      </c>
      <c r="CM41" s="194">
        <f t="shared" si="113"/>
        <v>0</v>
      </c>
      <c r="CN41" s="194">
        <f t="shared" si="113"/>
        <v>0</v>
      </c>
      <c r="CO41" s="195">
        <f>SUM(CC41:CN41)</f>
        <v>0</v>
      </c>
      <c r="CP41" s="194">
        <f aca="true" t="shared" si="114" ref="CP41:CW41">$B45-CP40</f>
        <v>0</v>
      </c>
      <c r="CQ41" s="194">
        <f t="shared" si="114"/>
        <v>0</v>
      </c>
      <c r="CR41" s="194">
        <f t="shared" si="114"/>
        <v>0</v>
      </c>
      <c r="CS41" s="194">
        <f t="shared" si="114"/>
        <v>0</v>
      </c>
      <c r="CT41" s="194">
        <f t="shared" si="114"/>
        <v>0</v>
      </c>
      <c r="CU41" s="194">
        <f t="shared" si="114"/>
        <v>0</v>
      </c>
      <c r="CV41" s="194">
        <f t="shared" si="114"/>
        <v>0</v>
      </c>
      <c r="CW41" s="194">
        <f t="shared" si="114"/>
        <v>0</v>
      </c>
      <c r="CX41" s="194"/>
      <c r="CY41" s="194"/>
      <c r="CZ41" s="194"/>
      <c r="DA41" s="194"/>
      <c r="DB41" s="195">
        <f>SUM(CP41:DA41)</f>
        <v>0</v>
      </c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5">
        <f>SUM(DC41:DN41)</f>
        <v>0</v>
      </c>
    </row>
    <row r="42" spans="1:119" ht="12.75" hidden="1">
      <c r="A42" s="188" t="s">
        <v>15</v>
      </c>
      <c r="B42" s="193">
        <f>O42+AB42+AO42+BB42+BO42+CB42+CO42+DB42+DO42</f>
        <v>0</v>
      </c>
      <c r="C42" s="194"/>
      <c r="D42" s="194"/>
      <c r="E42" s="194"/>
      <c r="F42" s="194"/>
      <c r="G42" s="194"/>
      <c r="H42" s="194"/>
      <c r="I42" s="194"/>
      <c r="J42" s="194"/>
      <c r="K42" s="199"/>
      <c r="L42" s="199"/>
      <c r="M42" s="199"/>
      <c r="N42" s="199"/>
      <c r="O42" s="195">
        <f>SUM(C42:N42)</f>
        <v>0</v>
      </c>
      <c r="P42" s="199"/>
      <c r="Q42" s="199"/>
      <c r="R42" s="199"/>
      <c r="S42" s="199"/>
      <c r="T42" s="199"/>
      <c r="U42" s="194">
        <f>U40</f>
        <v>0</v>
      </c>
      <c r="V42" s="194">
        <f aca="true" t="shared" si="115" ref="V42:AA42">V40</f>
        <v>0</v>
      </c>
      <c r="W42" s="194">
        <f t="shared" si="115"/>
        <v>0</v>
      </c>
      <c r="X42" s="194">
        <f t="shared" si="115"/>
        <v>0</v>
      </c>
      <c r="Y42" s="194">
        <f t="shared" si="115"/>
        <v>0</v>
      </c>
      <c r="Z42" s="194">
        <f t="shared" si="115"/>
        <v>0</v>
      </c>
      <c r="AA42" s="194">
        <f t="shared" si="115"/>
        <v>0</v>
      </c>
      <c r="AB42" s="195">
        <f>SUM(P42:AA42)</f>
        <v>0</v>
      </c>
      <c r="AC42" s="194">
        <f aca="true" t="shared" si="116" ref="AC42:AK42">AC40</f>
        <v>0</v>
      </c>
      <c r="AD42" s="194">
        <f t="shared" si="116"/>
        <v>0</v>
      </c>
      <c r="AE42" s="194">
        <f t="shared" si="116"/>
        <v>0</v>
      </c>
      <c r="AF42" s="194">
        <f t="shared" si="116"/>
        <v>0</v>
      </c>
      <c r="AG42" s="194">
        <f t="shared" si="116"/>
        <v>0</v>
      </c>
      <c r="AH42" s="194">
        <f t="shared" si="116"/>
        <v>0</v>
      </c>
      <c r="AI42" s="194">
        <f t="shared" si="116"/>
        <v>0</v>
      </c>
      <c r="AJ42" s="194">
        <f t="shared" si="116"/>
        <v>0</v>
      </c>
      <c r="AK42" s="194">
        <f t="shared" si="116"/>
        <v>0</v>
      </c>
      <c r="AL42" s="194">
        <f>AL40</f>
        <v>0</v>
      </c>
      <c r="AM42" s="194">
        <f>AM40</f>
        <v>0</v>
      </c>
      <c r="AN42" s="194">
        <f>AN40</f>
        <v>0</v>
      </c>
      <c r="AO42" s="195">
        <f>SUM(AC42:AN42)</f>
        <v>0</v>
      </c>
      <c r="AP42" s="194">
        <f aca="true" t="shared" si="117" ref="AP42:BA42">AP40</f>
        <v>0</v>
      </c>
      <c r="AQ42" s="194">
        <f t="shared" si="117"/>
        <v>0</v>
      </c>
      <c r="AR42" s="194">
        <f t="shared" si="117"/>
        <v>0</v>
      </c>
      <c r="AS42" s="194">
        <f t="shared" si="117"/>
        <v>0</v>
      </c>
      <c r="AT42" s="194">
        <f t="shared" si="117"/>
        <v>0</v>
      </c>
      <c r="AU42" s="194">
        <f t="shared" si="117"/>
        <v>0</v>
      </c>
      <c r="AV42" s="194">
        <f t="shared" si="117"/>
        <v>0</v>
      </c>
      <c r="AW42" s="194">
        <f t="shared" si="117"/>
        <v>0</v>
      </c>
      <c r="AX42" s="194">
        <f t="shared" si="117"/>
        <v>0</v>
      </c>
      <c r="AY42" s="194">
        <f t="shared" si="117"/>
        <v>0</v>
      </c>
      <c r="AZ42" s="194">
        <f t="shared" si="117"/>
        <v>0</v>
      </c>
      <c r="BA42" s="194">
        <f t="shared" si="117"/>
        <v>0</v>
      </c>
      <c r="BB42" s="195">
        <f>SUM(AP42:BA42)</f>
        <v>0</v>
      </c>
      <c r="BC42" s="194">
        <f aca="true" t="shared" si="118" ref="BC42:BN42">BC40</f>
        <v>0</v>
      </c>
      <c r="BD42" s="194">
        <f t="shared" si="118"/>
        <v>0</v>
      </c>
      <c r="BE42" s="194">
        <f t="shared" si="118"/>
        <v>0</v>
      </c>
      <c r="BF42" s="194">
        <f t="shared" si="118"/>
        <v>0</v>
      </c>
      <c r="BG42" s="194">
        <f t="shared" si="118"/>
        <v>0</v>
      </c>
      <c r="BH42" s="194">
        <f t="shared" si="118"/>
        <v>0</v>
      </c>
      <c r="BI42" s="194">
        <f t="shared" si="118"/>
        <v>0</v>
      </c>
      <c r="BJ42" s="194">
        <f t="shared" si="118"/>
        <v>0</v>
      </c>
      <c r="BK42" s="194">
        <f t="shared" si="118"/>
        <v>0</v>
      </c>
      <c r="BL42" s="194">
        <f t="shared" si="118"/>
        <v>0</v>
      </c>
      <c r="BM42" s="194">
        <f t="shared" si="118"/>
        <v>0</v>
      </c>
      <c r="BN42" s="194">
        <f t="shared" si="118"/>
        <v>0</v>
      </c>
      <c r="BO42" s="195">
        <f>SUM(BC42:BN42)</f>
        <v>0</v>
      </c>
      <c r="BP42" s="194">
        <f aca="true" t="shared" si="119" ref="BP42:CA42">BP40</f>
        <v>0</v>
      </c>
      <c r="BQ42" s="194">
        <f t="shared" si="119"/>
        <v>0</v>
      </c>
      <c r="BR42" s="194">
        <f t="shared" si="119"/>
        <v>0</v>
      </c>
      <c r="BS42" s="194">
        <f t="shared" si="119"/>
        <v>0</v>
      </c>
      <c r="BT42" s="194">
        <f t="shared" si="119"/>
        <v>0</v>
      </c>
      <c r="BU42" s="194">
        <f t="shared" si="119"/>
        <v>0</v>
      </c>
      <c r="BV42" s="194">
        <f t="shared" si="119"/>
        <v>0</v>
      </c>
      <c r="BW42" s="194">
        <f t="shared" si="119"/>
        <v>0</v>
      </c>
      <c r="BX42" s="194">
        <f t="shared" si="119"/>
        <v>0</v>
      </c>
      <c r="BY42" s="194">
        <f t="shared" si="119"/>
        <v>0</v>
      </c>
      <c r="BZ42" s="194">
        <f t="shared" si="119"/>
        <v>0</v>
      </c>
      <c r="CA42" s="194">
        <f t="shared" si="119"/>
        <v>0</v>
      </c>
      <c r="CB42" s="195">
        <f>SUM(BP42:CA42)</f>
        <v>0</v>
      </c>
      <c r="CC42" s="194">
        <f aca="true" t="shared" si="120" ref="CC42:CN42">CC40</f>
        <v>0</v>
      </c>
      <c r="CD42" s="194">
        <f t="shared" si="120"/>
        <v>0</v>
      </c>
      <c r="CE42" s="194">
        <f t="shared" si="120"/>
        <v>0</v>
      </c>
      <c r="CF42" s="194">
        <f t="shared" si="120"/>
        <v>0</v>
      </c>
      <c r="CG42" s="194">
        <f t="shared" si="120"/>
        <v>0</v>
      </c>
      <c r="CH42" s="194">
        <f t="shared" si="120"/>
        <v>0</v>
      </c>
      <c r="CI42" s="194">
        <f t="shared" si="120"/>
        <v>0</v>
      </c>
      <c r="CJ42" s="194">
        <f t="shared" si="120"/>
        <v>0</v>
      </c>
      <c r="CK42" s="194">
        <f t="shared" si="120"/>
        <v>0</v>
      </c>
      <c r="CL42" s="194">
        <f t="shared" si="120"/>
        <v>0</v>
      </c>
      <c r="CM42" s="194">
        <f t="shared" si="120"/>
        <v>0</v>
      </c>
      <c r="CN42" s="194">
        <f t="shared" si="120"/>
        <v>0</v>
      </c>
      <c r="CO42" s="195">
        <f>SUM(CC42:CN42)</f>
        <v>0</v>
      </c>
      <c r="CP42" s="194">
        <f aca="true" t="shared" si="121" ref="CP42:DA42">CP40</f>
        <v>0</v>
      </c>
      <c r="CQ42" s="194">
        <f t="shared" si="121"/>
        <v>0</v>
      </c>
      <c r="CR42" s="194">
        <f t="shared" si="121"/>
        <v>0</v>
      </c>
      <c r="CS42" s="194">
        <f t="shared" si="121"/>
        <v>0</v>
      </c>
      <c r="CT42" s="194">
        <f t="shared" si="121"/>
        <v>0</v>
      </c>
      <c r="CU42" s="194">
        <f t="shared" si="121"/>
        <v>0</v>
      </c>
      <c r="CV42" s="194">
        <f t="shared" si="121"/>
        <v>0</v>
      </c>
      <c r="CW42" s="194">
        <f t="shared" si="121"/>
        <v>0</v>
      </c>
      <c r="CX42" s="194">
        <f t="shared" si="121"/>
        <v>0</v>
      </c>
      <c r="CY42" s="194">
        <f t="shared" si="121"/>
        <v>0</v>
      </c>
      <c r="CZ42" s="194">
        <f t="shared" si="121"/>
        <v>0</v>
      </c>
      <c r="DA42" s="194">
        <f t="shared" si="121"/>
        <v>0</v>
      </c>
      <c r="DB42" s="195">
        <f>SUM(CP42:DA42)</f>
        <v>0</v>
      </c>
      <c r="DC42" s="194">
        <f aca="true" t="shared" si="122" ref="DC42:DN42">DC40</f>
        <v>0</v>
      </c>
      <c r="DD42" s="194">
        <f t="shared" si="122"/>
        <v>0</v>
      </c>
      <c r="DE42" s="194">
        <f t="shared" si="122"/>
        <v>0</v>
      </c>
      <c r="DF42" s="194">
        <f t="shared" si="122"/>
        <v>0</v>
      </c>
      <c r="DG42" s="194">
        <f t="shared" si="122"/>
        <v>0</v>
      </c>
      <c r="DH42" s="194">
        <f t="shared" si="122"/>
        <v>0</v>
      </c>
      <c r="DI42" s="194">
        <f t="shared" si="122"/>
        <v>0</v>
      </c>
      <c r="DJ42" s="194">
        <f t="shared" si="122"/>
        <v>0</v>
      </c>
      <c r="DK42" s="194">
        <f t="shared" si="122"/>
        <v>0</v>
      </c>
      <c r="DL42" s="194">
        <f t="shared" si="122"/>
        <v>0</v>
      </c>
      <c r="DM42" s="194">
        <f t="shared" si="122"/>
        <v>0</v>
      </c>
      <c r="DN42" s="194">
        <f t="shared" si="122"/>
        <v>0</v>
      </c>
      <c r="DO42" s="195">
        <f>SUM(DC42:DN42)</f>
        <v>0</v>
      </c>
    </row>
    <row r="43" spans="1:119" ht="12.75" hidden="1">
      <c r="A43" s="188" t="s">
        <v>16</v>
      </c>
      <c r="B43" s="193">
        <f>DO43</f>
        <v>0</v>
      </c>
      <c r="C43" s="194">
        <f>C38</f>
        <v>0</v>
      </c>
      <c r="D43" s="194">
        <f aca="true" t="shared" si="123" ref="D43:N43">C43+D38-D41+D39</f>
        <v>0</v>
      </c>
      <c r="E43" s="194">
        <f t="shared" si="123"/>
        <v>0</v>
      </c>
      <c r="F43" s="194">
        <f t="shared" si="123"/>
        <v>0</v>
      </c>
      <c r="G43" s="194">
        <f t="shared" si="123"/>
        <v>0</v>
      </c>
      <c r="H43" s="194">
        <f t="shared" si="123"/>
        <v>0</v>
      </c>
      <c r="I43" s="194">
        <f t="shared" si="123"/>
        <v>0</v>
      </c>
      <c r="J43" s="194">
        <f t="shared" si="123"/>
        <v>0</v>
      </c>
      <c r="K43" s="194">
        <f t="shared" si="123"/>
        <v>0</v>
      </c>
      <c r="L43" s="194">
        <f t="shared" si="123"/>
        <v>0</v>
      </c>
      <c r="M43" s="194">
        <f t="shared" si="123"/>
        <v>0</v>
      </c>
      <c r="N43" s="194">
        <f t="shared" si="123"/>
        <v>0</v>
      </c>
      <c r="O43" s="195">
        <f>N43</f>
        <v>0</v>
      </c>
      <c r="P43" s="194">
        <f aca="true" t="shared" si="124" ref="P43:AA43">O43+P38-P41+P39</f>
        <v>0</v>
      </c>
      <c r="Q43" s="194">
        <f t="shared" si="124"/>
        <v>0</v>
      </c>
      <c r="R43" s="194">
        <f t="shared" si="124"/>
        <v>0</v>
      </c>
      <c r="S43" s="194">
        <f t="shared" si="124"/>
        <v>0</v>
      </c>
      <c r="T43" s="194">
        <f t="shared" si="124"/>
        <v>0</v>
      </c>
      <c r="U43" s="194">
        <f t="shared" si="124"/>
        <v>0</v>
      </c>
      <c r="V43" s="194">
        <f t="shared" si="124"/>
        <v>0</v>
      </c>
      <c r="W43" s="194">
        <f t="shared" si="124"/>
        <v>0</v>
      </c>
      <c r="X43" s="194">
        <f t="shared" si="124"/>
        <v>0</v>
      </c>
      <c r="Y43" s="194">
        <f t="shared" si="124"/>
        <v>0</v>
      </c>
      <c r="Z43" s="194">
        <f t="shared" si="124"/>
        <v>0</v>
      </c>
      <c r="AA43" s="194">
        <f t="shared" si="124"/>
        <v>0</v>
      </c>
      <c r="AB43" s="195">
        <f>AA43</f>
        <v>0</v>
      </c>
      <c r="AC43" s="194">
        <f aca="true" t="shared" si="125" ref="AC43:AN43">AB43+AC38-AC41+AC39</f>
        <v>0</v>
      </c>
      <c r="AD43" s="194">
        <f t="shared" si="125"/>
        <v>0</v>
      </c>
      <c r="AE43" s="194">
        <f t="shared" si="125"/>
        <v>0</v>
      </c>
      <c r="AF43" s="194">
        <f t="shared" si="125"/>
        <v>0</v>
      </c>
      <c r="AG43" s="194">
        <f t="shared" si="125"/>
        <v>0</v>
      </c>
      <c r="AH43" s="194">
        <f t="shared" si="125"/>
        <v>0</v>
      </c>
      <c r="AI43" s="194">
        <f t="shared" si="125"/>
        <v>0</v>
      </c>
      <c r="AJ43" s="194">
        <f t="shared" si="125"/>
        <v>0</v>
      </c>
      <c r="AK43" s="194">
        <f t="shared" si="125"/>
        <v>0</v>
      </c>
      <c r="AL43" s="194">
        <f t="shared" si="125"/>
        <v>0</v>
      </c>
      <c r="AM43" s="194">
        <f t="shared" si="125"/>
        <v>0</v>
      </c>
      <c r="AN43" s="194">
        <f t="shared" si="125"/>
        <v>0</v>
      </c>
      <c r="AO43" s="195">
        <f>AN43</f>
        <v>0</v>
      </c>
      <c r="AP43" s="194">
        <f aca="true" t="shared" si="126" ref="AP43:BA43">AO43+AP38-AP41+AP39</f>
        <v>0</v>
      </c>
      <c r="AQ43" s="194">
        <f t="shared" si="126"/>
        <v>0</v>
      </c>
      <c r="AR43" s="194">
        <f t="shared" si="126"/>
        <v>0</v>
      </c>
      <c r="AS43" s="194">
        <f t="shared" si="126"/>
        <v>0</v>
      </c>
      <c r="AT43" s="194">
        <f t="shared" si="126"/>
        <v>0</v>
      </c>
      <c r="AU43" s="194">
        <f t="shared" si="126"/>
        <v>0</v>
      </c>
      <c r="AV43" s="194">
        <f t="shared" si="126"/>
        <v>0</v>
      </c>
      <c r="AW43" s="194">
        <f t="shared" si="126"/>
        <v>0</v>
      </c>
      <c r="AX43" s="194">
        <f t="shared" si="126"/>
        <v>0</v>
      </c>
      <c r="AY43" s="194">
        <f t="shared" si="126"/>
        <v>0</v>
      </c>
      <c r="AZ43" s="194">
        <f t="shared" si="126"/>
        <v>0</v>
      </c>
      <c r="BA43" s="194">
        <f t="shared" si="126"/>
        <v>0</v>
      </c>
      <c r="BB43" s="195">
        <f>BA43</f>
        <v>0</v>
      </c>
      <c r="BC43" s="194">
        <f aca="true" t="shared" si="127" ref="BC43:BN43">BB43+BC38-BC41+BC39</f>
        <v>0</v>
      </c>
      <c r="BD43" s="194">
        <f t="shared" si="127"/>
        <v>0</v>
      </c>
      <c r="BE43" s="194">
        <f t="shared" si="127"/>
        <v>0</v>
      </c>
      <c r="BF43" s="194">
        <f t="shared" si="127"/>
        <v>0</v>
      </c>
      <c r="BG43" s="194">
        <f t="shared" si="127"/>
        <v>0</v>
      </c>
      <c r="BH43" s="194">
        <f t="shared" si="127"/>
        <v>0</v>
      </c>
      <c r="BI43" s="194">
        <f t="shared" si="127"/>
        <v>0</v>
      </c>
      <c r="BJ43" s="194">
        <f t="shared" si="127"/>
        <v>0</v>
      </c>
      <c r="BK43" s="194">
        <f t="shared" si="127"/>
        <v>0</v>
      </c>
      <c r="BL43" s="194">
        <f t="shared" si="127"/>
        <v>0</v>
      </c>
      <c r="BM43" s="194">
        <f t="shared" si="127"/>
        <v>0</v>
      </c>
      <c r="BN43" s="194">
        <f t="shared" si="127"/>
        <v>0</v>
      </c>
      <c r="BO43" s="195">
        <f>BN43</f>
        <v>0</v>
      </c>
      <c r="BP43" s="194">
        <f aca="true" t="shared" si="128" ref="BP43:CA43">BO43+BP38-BP41+BP39</f>
        <v>0</v>
      </c>
      <c r="BQ43" s="194">
        <f t="shared" si="128"/>
        <v>0</v>
      </c>
      <c r="BR43" s="194">
        <f t="shared" si="128"/>
        <v>0</v>
      </c>
      <c r="BS43" s="194">
        <f t="shared" si="128"/>
        <v>0</v>
      </c>
      <c r="BT43" s="194">
        <f t="shared" si="128"/>
        <v>0</v>
      </c>
      <c r="BU43" s="194">
        <f t="shared" si="128"/>
        <v>0</v>
      </c>
      <c r="BV43" s="194">
        <f t="shared" si="128"/>
        <v>0</v>
      </c>
      <c r="BW43" s="194">
        <f t="shared" si="128"/>
        <v>0</v>
      </c>
      <c r="BX43" s="194">
        <f t="shared" si="128"/>
        <v>0</v>
      </c>
      <c r="BY43" s="194">
        <f t="shared" si="128"/>
        <v>0</v>
      </c>
      <c r="BZ43" s="194">
        <f t="shared" si="128"/>
        <v>0</v>
      </c>
      <c r="CA43" s="194">
        <f t="shared" si="128"/>
        <v>0</v>
      </c>
      <c r="CB43" s="195">
        <f>CA43</f>
        <v>0</v>
      </c>
      <c r="CC43" s="194">
        <f aca="true" t="shared" si="129" ref="CC43:CN43">CB43+CC38-CC41+CC39</f>
        <v>0</v>
      </c>
      <c r="CD43" s="194">
        <f t="shared" si="129"/>
        <v>0</v>
      </c>
      <c r="CE43" s="194">
        <f t="shared" si="129"/>
        <v>0</v>
      </c>
      <c r="CF43" s="194">
        <f t="shared" si="129"/>
        <v>0</v>
      </c>
      <c r="CG43" s="194">
        <f t="shared" si="129"/>
        <v>0</v>
      </c>
      <c r="CH43" s="194">
        <f t="shared" si="129"/>
        <v>0</v>
      </c>
      <c r="CI43" s="194">
        <f t="shared" si="129"/>
        <v>0</v>
      </c>
      <c r="CJ43" s="194">
        <f t="shared" si="129"/>
        <v>0</v>
      </c>
      <c r="CK43" s="194">
        <f t="shared" si="129"/>
        <v>0</v>
      </c>
      <c r="CL43" s="194">
        <f t="shared" si="129"/>
        <v>0</v>
      </c>
      <c r="CM43" s="194">
        <f t="shared" si="129"/>
        <v>0</v>
      </c>
      <c r="CN43" s="194">
        <f t="shared" si="129"/>
        <v>0</v>
      </c>
      <c r="CO43" s="195">
        <f>CN43</f>
        <v>0</v>
      </c>
      <c r="CP43" s="194">
        <f aca="true" t="shared" si="130" ref="CP43:DA43">CO43+CP38-CP41+CP39</f>
        <v>0</v>
      </c>
      <c r="CQ43" s="194">
        <f t="shared" si="130"/>
        <v>0</v>
      </c>
      <c r="CR43" s="194">
        <f t="shared" si="130"/>
        <v>0</v>
      </c>
      <c r="CS43" s="194">
        <f t="shared" si="130"/>
        <v>0</v>
      </c>
      <c r="CT43" s="194">
        <f t="shared" si="130"/>
        <v>0</v>
      </c>
      <c r="CU43" s="194">
        <f t="shared" si="130"/>
        <v>0</v>
      </c>
      <c r="CV43" s="194">
        <f t="shared" si="130"/>
        <v>0</v>
      </c>
      <c r="CW43" s="194">
        <f t="shared" si="130"/>
        <v>0</v>
      </c>
      <c r="CX43" s="194">
        <f t="shared" si="130"/>
        <v>0</v>
      </c>
      <c r="CY43" s="194">
        <f t="shared" si="130"/>
        <v>0</v>
      </c>
      <c r="CZ43" s="194">
        <f t="shared" si="130"/>
        <v>0</v>
      </c>
      <c r="DA43" s="194">
        <f t="shared" si="130"/>
        <v>0</v>
      </c>
      <c r="DB43" s="195">
        <f>DA43</f>
        <v>0</v>
      </c>
      <c r="DC43" s="194">
        <f aca="true" t="shared" si="131" ref="DC43:DN43">DB43+DC38-DC41+DC39</f>
        <v>0</v>
      </c>
      <c r="DD43" s="194">
        <f t="shared" si="131"/>
        <v>0</v>
      </c>
      <c r="DE43" s="194">
        <f t="shared" si="131"/>
        <v>0</v>
      </c>
      <c r="DF43" s="194">
        <f t="shared" si="131"/>
        <v>0</v>
      </c>
      <c r="DG43" s="194">
        <f t="shared" si="131"/>
        <v>0</v>
      </c>
      <c r="DH43" s="194">
        <f t="shared" si="131"/>
        <v>0</v>
      </c>
      <c r="DI43" s="194">
        <f t="shared" si="131"/>
        <v>0</v>
      </c>
      <c r="DJ43" s="194">
        <f t="shared" si="131"/>
        <v>0</v>
      </c>
      <c r="DK43" s="194">
        <f t="shared" si="131"/>
        <v>0</v>
      </c>
      <c r="DL43" s="194">
        <f t="shared" si="131"/>
        <v>0</v>
      </c>
      <c r="DM43" s="194">
        <f t="shared" si="131"/>
        <v>0</v>
      </c>
      <c r="DN43" s="194">
        <f t="shared" si="131"/>
        <v>0</v>
      </c>
      <c r="DO43" s="195">
        <f>DN43</f>
        <v>0</v>
      </c>
    </row>
    <row r="44" spans="1:119" ht="12.75" hidden="1">
      <c r="A44" s="177" t="s">
        <v>78</v>
      </c>
      <c r="B44" s="277">
        <f>Исх!$C$42*12-Исх!$C$43</f>
        <v>75</v>
      </c>
      <c r="CP44" s="180"/>
      <c r="DB44" s="177"/>
      <c r="DO44" s="177"/>
    </row>
    <row r="45" spans="1:119" ht="12.75" hidden="1">
      <c r="A45" s="280" t="s">
        <v>250</v>
      </c>
      <c r="B45" s="281">
        <f>$T$43*$B$20/12/((1-(1+$B$20/12)^-$B44))</f>
        <v>0</v>
      </c>
      <c r="DB45" s="177"/>
      <c r="DO45" s="177"/>
    </row>
    <row r="46" spans="1:119" ht="6" customHeight="1" hidden="1">
      <c r="A46" s="278"/>
      <c r="B46" s="275"/>
      <c r="DB46" s="177"/>
      <c r="DO46" s="177"/>
    </row>
    <row r="47" spans="1:119" ht="12.75" hidden="1">
      <c r="A47" s="263" t="s">
        <v>241</v>
      </c>
      <c r="DB47" s="177"/>
      <c r="DO47" s="177"/>
    </row>
    <row r="48" spans="1:119" ht="12.75" hidden="1" outlineLevel="1">
      <c r="A48" s="264">
        <f>B38+B39-B41</f>
        <v>0</v>
      </c>
      <c r="DB48" s="177"/>
      <c r="DO48" s="177"/>
    </row>
    <row r="49" spans="1:119" ht="12.75" hidden="1" outlineLevel="1">
      <c r="A49" s="264">
        <f>B40-B39-B42</f>
        <v>0</v>
      </c>
      <c r="DB49" s="177"/>
      <c r="DO49" s="177"/>
    </row>
    <row r="50" ht="12.75" hidden="1" collapsed="1"/>
    <row r="51" spans="1:119" ht="12.75" hidden="1">
      <c r="A51" s="289" t="s">
        <v>272</v>
      </c>
      <c r="B51" s="290"/>
      <c r="DB51" s="177"/>
      <c r="DO51" s="177"/>
    </row>
    <row r="52" spans="1:119" ht="15.75" customHeight="1" hidden="1">
      <c r="A52" s="186" t="s">
        <v>11</v>
      </c>
      <c r="B52" s="279">
        <f>Исх!$C$41</f>
        <v>0.07</v>
      </c>
      <c r="C52" s="371">
        <v>2013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>
        <v>2014</v>
      </c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>
        <v>2015</v>
      </c>
      <c r="AD52" s="371"/>
      <c r="AE52" s="371"/>
      <c r="AF52" s="371"/>
      <c r="AG52" s="371"/>
      <c r="AH52" s="371"/>
      <c r="AI52" s="371"/>
      <c r="AJ52" s="371"/>
      <c r="AK52" s="371"/>
      <c r="AL52" s="371"/>
      <c r="AM52" s="371"/>
      <c r="AN52" s="371"/>
      <c r="AO52" s="371"/>
      <c r="AP52" s="371">
        <v>2016</v>
      </c>
      <c r="AQ52" s="371"/>
      <c r="AR52" s="371"/>
      <c r="AS52" s="371"/>
      <c r="AT52" s="371"/>
      <c r="AU52" s="371"/>
      <c r="AV52" s="371"/>
      <c r="AW52" s="371"/>
      <c r="AX52" s="371"/>
      <c r="AY52" s="371"/>
      <c r="AZ52" s="371"/>
      <c r="BA52" s="371"/>
      <c r="BB52" s="371"/>
      <c r="BC52" s="371">
        <v>2017</v>
      </c>
      <c r="BD52" s="371"/>
      <c r="BE52" s="371"/>
      <c r="BF52" s="371"/>
      <c r="BG52" s="371"/>
      <c r="BH52" s="371"/>
      <c r="BI52" s="371"/>
      <c r="BJ52" s="371"/>
      <c r="BK52" s="371"/>
      <c r="BL52" s="371"/>
      <c r="BM52" s="371"/>
      <c r="BN52" s="371"/>
      <c r="BO52" s="371"/>
      <c r="BP52" s="371">
        <v>2018</v>
      </c>
      <c r="BQ52" s="371"/>
      <c r="BR52" s="371"/>
      <c r="BS52" s="371"/>
      <c r="BT52" s="371"/>
      <c r="BU52" s="371"/>
      <c r="BV52" s="371"/>
      <c r="BW52" s="371"/>
      <c r="BX52" s="371"/>
      <c r="BY52" s="371"/>
      <c r="BZ52" s="371"/>
      <c r="CA52" s="371"/>
      <c r="CB52" s="371"/>
      <c r="CC52" s="371">
        <v>2019</v>
      </c>
      <c r="CD52" s="371"/>
      <c r="CE52" s="371"/>
      <c r="CF52" s="371"/>
      <c r="CG52" s="371"/>
      <c r="CH52" s="371"/>
      <c r="CI52" s="371"/>
      <c r="CJ52" s="371"/>
      <c r="CK52" s="371"/>
      <c r="CL52" s="371"/>
      <c r="CM52" s="371"/>
      <c r="CN52" s="371"/>
      <c r="CO52" s="371"/>
      <c r="CP52" s="371">
        <v>2020</v>
      </c>
      <c r="CQ52" s="371"/>
      <c r="CR52" s="371"/>
      <c r="CS52" s="371"/>
      <c r="CT52" s="371"/>
      <c r="CU52" s="371"/>
      <c r="CV52" s="371"/>
      <c r="CW52" s="371"/>
      <c r="CX52" s="371"/>
      <c r="CY52" s="371"/>
      <c r="CZ52" s="371"/>
      <c r="DA52" s="371"/>
      <c r="DB52" s="371"/>
      <c r="DC52" s="371">
        <v>2021</v>
      </c>
      <c r="DD52" s="371"/>
      <c r="DE52" s="371"/>
      <c r="DF52" s="371"/>
      <c r="DG52" s="371"/>
      <c r="DH52" s="371"/>
      <c r="DI52" s="371"/>
      <c r="DJ52" s="371"/>
      <c r="DK52" s="371"/>
      <c r="DL52" s="371"/>
      <c r="DM52" s="371"/>
      <c r="DN52" s="371"/>
      <c r="DO52" s="371"/>
    </row>
    <row r="53" spans="1:119" s="192" customFormat="1" ht="15" customHeight="1" hidden="1">
      <c r="A53" s="188" t="s">
        <v>9</v>
      </c>
      <c r="B53" s="189" t="s">
        <v>89</v>
      </c>
      <c r="C53" s="190">
        <v>1</v>
      </c>
      <c r="D53" s="190">
        <v>2</v>
      </c>
      <c r="E53" s="190">
        <f aca="true" t="shared" si="132" ref="E53:N53">D53+1</f>
        <v>3</v>
      </c>
      <c r="F53" s="190">
        <f t="shared" si="132"/>
        <v>4</v>
      </c>
      <c r="G53" s="190">
        <f t="shared" si="132"/>
        <v>5</v>
      </c>
      <c r="H53" s="190">
        <f t="shared" si="132"/>
        <v>6</v>
      </c>
      <c r="I53" s="190">
        <f t="shared" si="132"/>
        <v>7</v>
      </c>
      <c r="J53" s="190">
        <f t="shared" si="132"/>
        <v>8</v>
      </c>
      <c r="K53" s="190">
        <f t="shared" si="132"/>
        <v>9</v>
      </c>
      <c r="L53" s="190">
        <f t="shared" si="132"/>
        <v>10</v>
      </c>
      <c r="M53" s="190">
        <f t="shared" si="132"/>
        <v>11</v>
      </c>
      <c r="N53" s="190">
        <f t="shared" si="132"/>
        <v>12</v>
      </c>
      <c r="O53" s="191" t="str">
        <f>O37</f>
        <v>Итого</v>
      </c>
      <c r="P53" s="190">
        <v>1</v>
      </c>
      <c r="Q53" s="190">
        <v>2</v>
      </c>
      <c r="R53" s="190">
        <f aca="true" t="shared" si="133" ref="R53:AA53">Q53+1</f>
        <v>3</v>
      </c>
      <c r="S53" s="190">
        <f t="shared" si="133"/>
        <v>4</v>
      </c>
      <c r="T53" s="190">
        <f t="shared" si="133"/>
        <v>5</v>
      </c>
      <c r="U53" s="190">
        <f t="shared" si="133"/>
        <v>6</v>
      </c>
      <c r="V53" s="190">
        <f t="shared" si="133"/>
        <v>7</v>
      </c>
      <c r="W53" s="190">
        <f t="shared" si="133"/>
        <v>8</v>
      </c>
      <c r="X53" s="190">
        <f t="shared" si="133"/>
        <v>9</v>
      </c>
      <c r="Y53" s="190">
        <f t="shared" si="133"/>
        <v>10</v>
      </c>
      <c r="Z53" s="190">
        <f t="shared" si="133"/>
        <v>11</v>
      </c>
      <c r="AA53" s="190">
        <f t="shared" si="133"/>
        <v>12</v>
      </c>
      <c r="AB53" s="191" t="str">
        <f>AB37</f>
        <v>Итого</v>
      </c>
      <c r="AC53" s="190">
        <v>1</v>
      </c>
      <c r="AD53" s="190">
        <v>2</v>
      </c>
      <c r="AE53" s="190">
        <f aca="true" t="shared" si="134" ref="AE53:AN53">AD53+1</f>
        <v>3</v>
      </c>
      <c r="AF53" s="190">
        <f t="shared" si="134"/>
        <v>4</v>
      </c>
      <c r="AG53" s="190">
        <f t="shared" si="134"/>
        <v>5</v>
      </c>
      <c r="AH53" s="190">
        <f t="shared" si="134"/>
        <v>6</v>
      </c>
      <c r="AI53" s="190">
        <f t="shared" si="134"/>
        <v>7</v>
      </c>
      <c r="AJ53" s="190">
        <f t="shared" si="134"/>
        <v>8</v>
      </c>
      <c r="AK53" s="190">
        <f t="shared" si="134"/>
        <v>9</v>
      </c>
      <c r="AL53" s="190">
        <f t="shared" si="134"/>
        <v>10</v>
      </c>
      <c r="AM53" s="190">
        <f t="shared" si="134"/>
        <v>11</v>
      </c>
      <c r="AN53" s="190">
        <f t="shared" si="134"/>
        <v>12</v>
      </c>
      <c r="AO53" s="191" t="str">
        <f>AO37</f>
        <v>Итого</v>
      </c>
      <c r="AP53" s="190">
        <v>1</v>
      </c>
      <c r="AQ53" s="190">
        <v>2</v>
      </c>
      <c r="AR53" s="190">
        <f aca="true" t="shared" si="135" ref="AR53:BA53">AQ53+1</f>
        <v>3</v>
      </c>
      <c r="AS53" s="190">
        <f t="shared" si="135"/>
        <v>4</v>
      </c>
      <c r="AT53" s="190">
        <f t="shared" si="135"/>
        <v>5</v>
      </c>
      <c r="AU53" s="190">
        <f t="shared" si="135"/>
        <v>6</v>
      </c>
      <c r="AV53" s="190">
        <f t="shared" si="135"/>
        <v>7</v>
      </c>
      <c r="AW53" s="190">
        <f t="shared" si="135"/>
        <v>8</v>
      </c>
      <c r="AX53" s="190">
        <f t="shared" si="135"/>
        <v>9</v>
      </c>
      <c r="AY53" s="190">
        <f t="shared" si="135"/>
        <v>10</v>
      </c>
      <c r="AZ53" s="190">
        <f t="shared" si="135"/>
        <v>11</v>
      </c>
      <c r="BA53" s="190">
        <f t="shared" si="135"/>
        <v>12</v>
      </c>
      <c r="BB53" s="191" t="str">
        <f>BB37</f>
        <v>Итого</v>
      </c>
      <c r="BC53" s="190">
        <v>1</v>
      </c>
      <c r="BD53" s="190">
        <v>2</v>
      </c>
      <c r="BE53" s="190">
        <f aca="true" t="shared" si="136" ref="BE53:BN53">BD53+1</f>
        <v>3</v>
      </c>
      <c r="BF53" s="190">
        <f t="shared" si="136"/>
        <v>4</v>
      </c>
      <c r="BG53" s="190">
        <f t="shared" si="136"/>
        <v>5</v>
      </c>
      <c r="BH53" s="190">
        <f t="shared" si="136"/>
        <v>6</v>
      </c>
      <c r="BI53" s="190">
        <f t="shared" si="136"/>
        <v>7</v>
      </c>
      <c r="BJ53" s="190">
        <f t="shared" si="136"/>
        <v>8</v>
      </c>
      <c r="BK53" s="190">
        <f t="shared" si="136"/>
        <v>9</v>
      </c>
      <c r="BL53" s="190">
        <f t="shared" si="136"/>
        <v>10</v>
      </c>
      <c r="BM53" s="190">
        <f t="shared" si="136"/>
        <v>11</v>
      </c>
      <c r="BN53" s="190">
        <f t="shared" si="136"/>
        <v>12</v>
      </c>
      <c r="BO53" s="191" t="str">
        <f>BO37</f>
        <v>Итого</v>
      </c>
      <c r="BP53" s="190">
        <v>1</v>
      </c>
      <c r="BQ53" s="190">
        <v>2</v>
      </c>
      <c r="BR53" s="190">
        <f aca="true" t="shared" si="137" ref="BR53:CA53">BQ53+1</f>
        <v>3</v>
      </c>
      <c r="BS53" s="190">
        <f t="shared" si="137"/>
        <v>4</v>
      </c>
      <c r="BT53" s="190">
        <f t="shared" si="137"/>
        <v>5</v>
      </c>
      <c r="BU53" s="190">
        <f t="shared" si="137"/>
        <v>6</v>
      </c>
      <c r="BV53" s="190">
        <f t="shared" si="137"/>
        <v>7</v>
      </c>
      <c r="BW53" s="190">
        <f t="shared" si="137"/>
        <v>8</v>
      </c>
      <c r="BX53" s="190">
        <f t="shared" si="137"/>
        <v>9</v>
      </c>
      <c r="BY53" s="190">
        <f t="shared" si="137"/>
        <v>10</v>
      </c>
      <c r="BZ53" s="190">
        <f t="shared" si="137"/>
        <v>11</v>
      </c>
      <c r="CA53" s="190">
        <f t="shared" si="137"/>
        <v>12</v>
      </c>
      <c r="CB53" s="191" t="str">
        <f>CB37</f>
        <v>Итого</v>
      </c>
      <c r="CC53" s="190">
        <v>1</v>
      </c>
      <c r="CD53" s="190">
        <v>2</v>
      </c>
      <c r="CE53" s="190">
        <f aca="true" t="shared" si="138" ref="CE53:CN53">CD53+1</f>
        <v>3</v>
      </c>
      <c r="CF53" s="190">
        <f t="shared" si="138"/>
        <v>4</v>
      </c>
      <c r="CG53" s="190">
        <f t="shared" si="138"/>
        <v>5</v>
      </c>
      <c r="CH53" s="190">
        <f t="shared" si="138"/>
        <v>6</v>
      </c>
      <c r="CI53" s="190">
        <f t="shared" si="138"/>
        <v>7</v>
      </c>
      <c r="CJ53" s="190">
        <f t="shared" si="138"/>
        <v>8</v>
      </c>
      <c r="CK53" s="190">
        <f t="shared" si="138"/>
        <v>9</v>
      </c>
      <c r="CL53" s="190">
        <f t="shared" si="138"/>
        <v>10</v>
      </c>
      <c r="CM53" s="190">
        <f t="shared" si="138"/>
        <v>11</v>
      </c>
      <c r="CN53" s="190">
        <f t="shared" si="138"/>
        <v>12</v>
      </c>
      <c r="CO53" s="191" t="str">
        <f>CO37</f>
        <v>Итого</v>
      </c>
      <c r="CP53" s="190">
        <v>1</v>
      </c>
      <c r="CQ53" s="190">
        <f aca="true" t="shared" si="139" ref="CQ53:DA53">CP53+1</f>
        <v>2</v>
      </c>
      <c r="CR53" s="190">
        <f t="shared" si="139"/>
        <v>3</v>
      </c>
      <c r="CS53" s="190">
        <f t="shared" si="139"/>
        <v>4</v>
      </c>
      <c r="CT53" s="190">
        <f t="shared" si="139"/>
        <v>5</v>
      </c>
      <c r="CU53" s="190">
        <f t="shared" si="139"/>
        <v>6</v>
      </c>
      <c r="CV53" s="190">
        <f t="shared" si="139"/>
        <v>7</v>
      </c>
      <c r="CW53" s="190">
        <f t="shared" si="139"/>
        <v>8</v>
      </c>
      <c r="CX53" s="190">
        <f t="shared" si="139"/>
        <v>9</v>
      </c>
      <c r="CY53" s="190">
        <f t="shared" si="139"/>
        <v>10</v>
      </c>
      <c r="CZ53" s="190">
        <f t="shared" si="139"/>
        <v>11</v>
      </c>
      <c r="DA53" s="190">
        <f t="shared" si="139"/>
        <v>12</v>
      </c>
      <c r="DB53" s="191" t="str">
        <f>DB37</f>
        <v>Итого</v>
      </c>
      <c r="DC53" s="190">
        <v>1</v>
      </c>
      <c r="DD53" s="190">
        <f aca="true" t="shared" si="140" ref="DD53:DN53">DC53+1</f>
        <v>2</v>
      </c>
      <c r="DE53" s="190">
        <f t="shared" si="140"/>
        <v>3</v>
      </c>
      <c r="DF53" s="190">
        <f t="shared" si="140"/>
        <v>4</v>
      </c>
      <c r="DG53" s="190">
        <f t="shared" si="140"/>
        <v>5</v>
      </c>
      <c r="DH53" s="190">
        <f t="shared" si="140"/>
        <v>6</v>
      </c>
      <c r="DI53" s="190">
        <f t="shared" si="140"/>
        <v>7</v>
      </c>
      <c r="DJ53" s="190">
        <f t="shared" si="140"/>
        <v>8</v>
      </c>
      <c r="DK53" s="190">
        <f t="shared" si="140"/>
        <v>9</v>
      </c>
      <c r="DL53" s="190">
        <f t="shared" si="140"/>
        <v>10</v>
      </c>
      <c r="DM53" s="190">
        <f t="shared" si="140"/>
        <v>11</v>
      </c>
      <c r="DN53" s="190">
        <f t="shared" si="140"/>
        <v>12</v>
      </c>
      <c r="DO53" s="191" t="s">
        <v>0</v>
      </c>
    </row>
    <row r="54" spans="1:119" ht="12.75" hidden="1">
      <c r="A54" s="188" t="s">
        <v>106</v>
      </c>
      <c r="B54" s="193">
        <f>O54+AB54+AO54+BB54+BO54+CB54+CO54+DB54+DO54</f>
        <v>0</v>
      </c>
      <c r="C54" s="194"/>
      <c r="D54" s="194"/>
      <c r="E54" s="194"/>
      <c r="F54" s="194"/>
      <c r="G54" s="194"/>
      <c r="H54" s="194"/>
      <c r="I54" s="194"/>
      <c r="J54" s="194"/>
      <c r="K54" s="194">
        <f>'1-Ф3'!L$29</f>
        <v>0</v>
      </c>
      <c r="L54" s="194"/>
      <c r="M54" s="194"/>
      <c r="N54" s="194"/>
      <c r="O54" s="195">
        <f>SUM(C54:N54)</f>
        <v>0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>
        <f>SUM(P54:AA54)</f>
        <v>0</v>
      </c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>
        <f>SUM(AC54:AN54)</f>
        <v>0</v>
      </c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</row>
    <row r="55" spans="1:119" s="197" customFormat="1" ht="20.25" customHeight="1" hidden="1">
      <c r="A55" s="188" t="s">
        <v>31</v>
      </c>
      <c r="B55" s="193">
        <f>O55+AB55+AO55+BB55+BO55+CB55+CO55+DB55+DO55</f>
        <v>0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5">
        <f>SUM(C55:N55)</f>
        <v>0</v>
      </c>
      <c r="P55" s="194"/>
      <c r="Q55" s="194"/>
      <c r="R55" s="194"/>
      <c r="S55" s="194"/>
      <c r="T55" s="194"/>
      <c r="U55" s="194">
        <f>SUM(O56:U56)</f>
        <v>0</v>
      </c>
      <c r="V55" s="194"/>
      <c r="W55" s="194"/>
      <c r="X55" s="194"/>
      <c r="Y55" s="194"/>
      <c r="Z55" s="194"/>
      <c r="AA55" s="194"/>
      <c r="AB55" s="195">
        <f>SUM(P55:AA55)</f>
        <v>0</v>
      </c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5">
        <f>SUM(AC55:AN55)</f>
        <v>0</v>
      </c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5">
        <f>SUM(AP55:BA55)</f>
        <v>0</v>
      </c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5">
        <f>SUM(BC55:BN55)</f>
        <v>0</v>
      </c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5">
        <f>SUM(BP55:CA55)</f>
        <v>0</v>
      </c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5">
        <f>SUM(CC55:CN55)</f>
        <v>0</v>
      </c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5">
        <f>SUM(CP55:DA55)</f>
        <v>0</v>
      </c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5">
        <f>SUM(DC55:DN55)</f>
        <v>0</v>
      </c>
    </row>
    <row r="56" spans="1:119" s="197" customFormat="1" ht="12.75" hidden="1">
      <c r="A56" s="198" t="s">
        <v>13</v>
      </c>
      <c r="B56" s="193">
        <f>O56+AB56+AO56+BB56+BO56+CB56+CO56+DB56+DO56</f>
        <v>0</v>
      </c>
      <c r="C56" s="194"/>
      <c r="D56" s="194">
        <f aca="true" t="shared" si="141" ref="D56:N56">C59*$B52/12</f>
        <v>0</v>
      </c>
      <c r="E56" s="194">
        <f t="shared" si="141"/>
        <v>0</v>
      </c>
      <c r="F56" s="194">
        <f t="shared" si="141"/>
        <v>0</v>
      </c>
      <c r="G56" s="194">
        <f t="shared" si="141"/>
        <v>0</v>
      </c>
      <c r="H56" s="194">
        <f t="shared" si="141"/>
        <v>0</v>
      </c>
      <c r="I56" s="194">
        <f t="shared" si="141"/>
        <v>0</v>
      </c>
      <c r="J56" s="194">
        <f t="shared" si="141"/>
        <v>0</v>
      </c>
      <c r="K56" s="194">
        <f t="shared" si="141"/>
        <v>0</v>
      </c>
      <c r="L56" s="194">
        <f t="shared" si="141"/>
        <v>0</v>
      </c>
      <c r="M56" s="194">
        <f t="shared" si="141"/>
        <v>0</v>
      </c>
      <c r="N56" s="194">
        <f t="shared" si="141"/>
        <v>0</v>
      </c>
      <c r="O56" s="195">
        <f>SUM(C56:N56)</f>
        <v>0</v>
      </c>
      <c r="P56" s="194">
        <f aca="true" t="shared" si="142" ref="P56:AA56">O59*$B52/12</f>
        <v>0</v>
      </c>
      <c r="Q56" s="194">
        <f t="shared" si="142"/>
        <v>0</v>
      </c>
      <c r="R56" s="194">
        <f t="shared" si="142"/>
        <v>0</v>
      </c>
      <c r="S56" s="194">
        <f t="shared" si="142"/>
        <v>0</v>
      </c>
      <c r="T56" s="194">
        <f t="shared" si="142"/>
        <v>0</v>
      </c>
      <c r="U56" s="194">
        <f t="shared" si="142"/>
        <v>0</v>
      </c>
      <c r="V56" s="194">
        <f t="shared" si="142"/>
        <v>0</v>
      </c>
      <c r="W56" s="194">
        <f t="shared" si="142"/>
        <v>0</v>
      </c>
      <c r="X56" s="194">
        <f t="shared" si="142"/>
        <v>0</v>
      </c>
      <c r="Y56" s="194">
        <f t="shared" si="142"/>
        <v>0</v>
      </c>
      <c r="Z56" s="194">
        <f t="shared" si="142"/>
        <v>0</v>
      </c>
      <c r="AA56" s="194">
        <f t="shared" si="142"/>
        <v>0</v>
      </c>
      <c r="AB56" s="195">
        <f>SUM(P56:AA56)</f>
        <v>0</v>
      </c>
      <c r="AC56" s="194">
        <f aca="true" t="shared" si="143" ref="AC56:AN56">AB59*$B52/12</f>
        <v>0</v>
      </c>
      <c r="AD56" s="194">
        <f t="shared" si="143"/>
        <v>0</v>
      </c>
      <c r="AE56" s="194">
        <f t="shared" si="143"/>
        <v>0</v>
      </c>
      <c r="AF56" s="194">
        <f t="shared" si="143"/>
        <v>0</v>
      </c>
      <c r="AG56" s="194">
        <f t="shared" si="143"/>
        <v>0</v>
      </c>
      <c r="AH56" s="194">
        <f t="shared" si="143"/>
        <v>0</v>
      </c>
      <c r="AI56" s="194">
        <f t="shared" si="143"/>
        <v>0</v>
      </c>
      <c r="AJ56" s="194">
        <f t="shared" si="143"/>
        <v>0</v>
      </c>
      <c r="AK56" s="194">
        <f t="shared" si="143"/>
        <v>0</v>
      </c>
      <c r="AL56" s="194">
        <f t="shared" si="143"/>
        <v>0</v>
      </c>
      <c r="AM56" s="194">
        <f t="shared" si="143"/>
        <v>0</v>
      </c>
      <c r="AN56" s="194">
        <f t="shared" si="143"/>
        <v>0</v>
      </c>
      <c r="AO56" s="195">
        <f>SUM(AC56:AN56)</f>
        <v>0</v>
      </c>
      <c r="AP56" s="194">
        <f aca="true" t="shared" si="144" ref="AP56:BA56">AO59*$B52/12</f>
        <v>0</v>
      </c>
      <c r="AQ56" s="194">
        <f t="shared" si="144"/>
        <v>0</v>
      </c>
      <c r="AR56" s="194">
        <f t="shared" si="144"/>
        <v>0</v>
      </c>
      <c r="AS56" s="194">
        <f t="shared" si="144"/>
        <v>0</v>
      </c>
      <c r="AT56" s="194">
        <f t="shared" si="144"/>
        <v>0</v>
      </c>
      <c r="AU56" s="194">
        <f t="shared" si="144"/>
        <v>0</v>
      </c>
      <c r="AV56" s="194">
        <f t="shared" si="144"/>
        <v>0</v>
      </c>
      <c r="AW56" s="194">
        <f t="shared" si="144"/>
        <v>0</v>
      </c>
      <c r="AX56" s="194">
        <f t="shared" si="144"/>
        <v>0</v>
      </c>
      <c r="AY56" s="194">
        <f t="shared" si="144"/>
        <v>0</v>
      </c>
      <c r="AZ56" s="194">
        <f t="shared" si="144"/>
        <v>0</v>
      </c>
      <c r="BA56" s="194">
        <f t="shared" si="144"/>
        <v>0</v>
      </c>
      <c r="BB56" s="195">
        <f>SUM(AP56:BA56)</f>
        <v>0</v>
      </c>
      <c r="BC56" s="194">
        <f aca="true" t="shared" si="145" ref="BC56:BN56">BB59*$B52/12</f>
        <v>0</v>
      </c>
      <c r="BD56" s="194">
        <f t="shared" si="145"/>
        <v>0</v>
      </c>
      <c r="BE56" s="194">
        <f t="shared" si="145"/>
        <v>0</v>
      </c>
      <c r="BF56" s="194">
        <f t="shared" si="145"/>
        <v>0</v>
      </c>
      <c r="BG56" s="194">
        <f t="shared" si="145"/>
        <v>0</v>
      </c>
      <c r="BH56" s="194">
        <f t="shared" si="145"/>
        <v>0</v>
      </c>
      <c r="BI56" s="194">
        <f t="shared" si="145"/>
        <v>0</v>
      </c>
      <c r="BJ56" s="194">
        <f t="shared" si="145"/>
        <v>0</v>
      </c>
      <c r="BK56" s="194">
        <f t="shared" si="145"/>
        <v>0</v>
      </c>
      <c r="BL56" s="194">
        <f t="shared" si="145"/>
        <v>0</v>
      </c>
      <c r="BM56" s="194">
        <f t="shared" si="145"/>
        <v>0</v>
      </c>
      <c r="BN56" s="194">
        <f t="shared" si="145"/>
        <v>0</v>
      </c>
      <c r="BO56" s="195">
        <f>SUM(BC56:BN56)</f>
        <v>0</v>
      </c>
      <c r="BP56" s="194">
        <f aca="true" t="shared" si="146" ref="BP56:CA56">BO59*$B52/12</f>
        <v>0</v>
      </c>
      <c r="BQ56" s="194">
        <f t="shared" si="146"/>
        <v>0</v>
      </c>
      <c r="BR56" s="194">
        <f t="shared" si="146"/>
        <v>0</v>
      </c>
      <c r="BS56" s="194">
        <f t="shared" si="146"/>
        <v>0</v>
      </c>
      <c r="BT56" s="194">
        <f t="shared" si="146"/>
        <v>0</v>
      </c>
      <c r="BU56" s="194">
        <f t="shared" si="146"/>
        <v>0</v>
      </c>
      <c r="BV56" s="194">
        <f t="shared" si="146"/>
        <v>0</v>
      </c>
      <c r="BW56" s="194">
        <f t="shared" si="146"/>
        <v>0</v>
      </c>
      <c r="BX56" s="194">
        <f t="shared" si="146"/>
        <v>0</v>
      </c>
      <c r="BY56" s="194">
        <f t="shared" si="146"/>
        <v>0</v>
      </c>
      <c r="BZ56" s="194">
        <f t="shared" si="146"/>
        <v>0</v>
      </c>
      <c r="CA56" s="194">
        <f t="shared" si="146"/>
        <v>0</v>
      </c>
      <c r="CB56" s="195">
        <f>SUM(BP56:CA56)</f>
        <v>0</v>
      </c>
      <c r="CC56" s="194">
        <f aca="true" t="shared" si="147" ref="CC56:CN56">CB59*$B52/12</f>
        <v>0</v>
      </c>
      <c r="CD56" s="194">
        <f t="shared" si="147"/>
        <v>0</v>
      </c>
      <c r="CE56" s="194">
        <f t="shared" si="147"/>
        <v>0</v>
      </c>
      <c r="CF56" s="194">
        <f t="shared" si="147"/>
        <v>0</v>
      </c>
      <c r="CG56" s="194">
        <f t="shared" si="147"/>
        <v>0</v>
      </c>
      <c r="CH56" s="194">
        <f t="shared" si="147"/>
        <v>0</v>
      </c>
      <c r="CI56" s="194">
        <f t="shared" si="147"/>
        <v>0</v>
      </c>
      <c r="CJ56" s="194">
        <f t="shared" si="147"/>
        <v>0</v>
      </c>
      <c r="CK56" s="194">
        <f t="shared" si="147"/>
        <v>0</v>
      </c>
      <c r="CL56" s="194">
        <f t="shared" si="147"/>
        <v>0</v>
      </c>
      <c r="CM56" s="194">
        <f t="shared" si="147"/>
        <v>0</v>
      </c>
      <c r="CN56" s="194">
        <f t="shared" si="147"/>
        <v>0</v>
      </c>
      <c r="CO56" s="195">
        <f>SUM(CC56:CN56)</f>
        <v>0</v>
      </c>
      <c r="CP56" s="194">
        <f aca="true" t="shared" si="148" ref="CP56:DA56">CO59*$B52/12</f>
        <v>0</v>
      </c>
      <c r="CQ56" s="194">
        <f t="shared" si="148"/>
        <v>0</v>
      </c>
      <c r="CR56" s="194">
        <f t="shared" si="148"/>
        <v>0</v>
      </c>
      <c r="CS56" s="194">
        <f t="shared" si="148"/>
        <v>0</v>
      </c>
      <c r="CT56" s="194">
        <f t="shared" si="148"/>
        <v>0</v>
      </c>
      <c r="CU56" s="194">
        <f t="shared" si="148"/>
        <v>0</v>
      </c>
      <c r="CV56" s="194">
        <f t="shared" si="148"/>
        <v>0</v>
      </c>
      <c r="CW56" s="194">
        <f t="shared" si="148"/>
        <v>0</v>
      </c>
      <c r="CX56" s="194">
        <f t="shared" si="148"/>
        <v>0</v>
      </c>
      <c r="CY56" s="194">
        <f t="shared" si="148"/>
        <v>0</v>
      </c>
      <c r="CZ56" s="194">
        <f t="shared" si="148"/>
        <v>0</v>
      </c>
      <c r="DA56" s="194">
        <f t="shared" si="148"/>
        <v>0</v>
      </c>
      <c r="DB56" s="195">
        <f>SUM(CP56:DA56)</f>
        <v>0</v>
      </c>
      <c r="DC56" s="194">
        <f aca="true" t="shared" si="149" ref="DC56:DN56">DB59*$B52/12</f>
        <v>0</v>
      </c>
      <c r="DD56" s="194">
        <f t="shared" si="149"/>
        <v>0</v>
      </c>
      <c r="DE56" s="194">
        <f t="shared" si="149"/>
        <v>0</v>
      </c>
      <c r="DF56" s="194">
        <f t="shared" si="149"/>
        <v>0</v>
      </c>
      <c r="DG56" s="194">
        <f t="shared" si="149"/>
        <v>0</v>
      </c>
      <c r="DH56" s="194">
        <f t="shared" si="149"/>
        <v>0</v>
      </c>
      <c r="DI56" s="194">
        <f t="shared" si="149"/>
        <v>0</v>
      </c>
      <c r="DJ56" s="194">
        <f t="shared" si="149"/>
        <v>0</v>
      </c>
      <c r="DK56" s="194">
        <f t="shared" si="149"/>
        <v>0</v>
      </c>
      <c r="DL56" s="194">
        <f t="shared" si="149"/>
        <v>0</v>
      </c>
      <c r="DM56" s="194">
        <f t="shared" si="149"/>
        <v>0</v>
      </c>
      <c r="DN56" s="194">
        <f t="shared" si="149"/>
        <v>0</v>
      </c>
      <c r="DO56" s="195">
        <f>SUM(DC56:DN56)</f>
        <v>0</v>
      </c>
    </row>
    <row r="57" spans="1:119" ht="12.75" hidden="1">
      <c r="A57" s="188" t="s">
        <v>14</v>
      </c>
      <c r="B57" s="193">
        <f>O57+AB57+AO57+BB57+BO57+CB57+CO57+DB57+DO57</f>
        <v>0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9"/>
      <c r="M57" s="199"/>
      <c r="N57" s="199"/>
      <c r="O57" s="195">
        <f>SUM(C57:N57)</f>
        <v>0</v>
      </c>
      <c r="P57" s="199"/>
      <c r="Q57" s="199"/>
      <c r="R57" s="199"/>
      <c r="S57" s="199"/>
      <c r="T57" s="199"/>
      <c r="U57" s="199"/>
      <c r="V57" s="194">
        <f aca="true" t="shared" si="150" ref="V57:AA57">$B61-V56</f>
        <v>0</v>
      </c>
      <c r="W57" s="194">
        <f t="shared" si="150"/>
        <v>0</v>
      </c>
      <c r="X57" s="194">
        <f t="shared" si="150"/>
        <v>0</v>
      </c>
      <c r="Y57" s="194">
        <f t="shared" si="150"/>
        <v>0</v>
      </c>
      <c r="Z57" s="194">
        <f t="shared" si="150"/>
        <v>0</v>
      </c>
      <c r="AA57" s="194">
        <f t="shared" si="150"/>
        <v>0</v>
      </c>
      <c r="AB57" s="195">
        <f>SUM(P57:AA57)</f>
        <v>0</v>
      </c>
      <c r="AC57" s="194">
        <f aca="true" t="shared" si="151" ref="AC57:AN57">$B61-AC56</f>
        <v>0</v>
      </c>
      <c r="AD57" s="194">
        <f t="shared" si="151"/>
        <v>0</v>
      </c>
      <c r="AE57" s="194">
        <f t="shared" si="151"/>
        <v>0</v>
      </c>
      <c r="AF57" s="194">
        <f t="shared" si="151"/>
        <v>0</v>
      </c>
      <c r="AG57" s="194">
        <f t="shared" si="151"/>
        <v>0</v>
      </c>
      <c r="AH57" s="194">
        <f t="shared" si="151"/>
        <v>0</v>
      </c>
      <c r="AI57" s="194">
        <f t="shared" si="151"/>
        <v>0</v>
      </c>
      <c r="AJ57" s="194">
        <f t="shared" si="151"/>
        <v>0</v>
      </c>
      <c r="AK57" s="194">
        <f t="shared" si="151"/>
        <v>0</v>
      </c>
      <c r="AL57" s="194">
        <f t="shared" si="151"/>
        <v>0</v>
      </c>
      <c r="AM57" s="194">
        <f t="shared" si="151"/>
        <v>0</v>
      </c>
      <c r="AN57" s="194">
        <f t="shared" si="151"/>
        <v>0</v>
      </c>
      <c r="AO57" s="195">
        <f>SUM(AC57:AN57)</f>
        <v>0</v>
      </c>
      <c r="AP57" s="194">
        <f aca="true" t="shared" si="152" ref="AP57:BA57">$B61-AP56</f>
        <v>0</v>
      </c>
      <c r="AQ57" s="194">
        <f t="shared" si="152"/>
        <v>0</v>
      </c>
      <c r="AR57" s="194">
        <f t="shared" si="152"/>
        <v>0</v>
      </c>
      <c r="AS57" s="194">
        <f t="shared" si="152"/>
        <v>0</v>
      </c>
      <c r="AT57" s="194">
        <f t="shared" si="152"/>
        <v>0</v>
      </c>
      <c r="AU57" s="194">
        <f t="shared" si="152"/>
        <v>0</v>
      </c>
      <c r="AV57" s="194">
        <f t="shared" si="152"/>
        <v>0</v>
      </c>
      <c r="AW57" s="194">
        <f t="shared" si="152"/>
        <v>0</v>
      </c>
      <c r="AX57" s="194">
        <f t="shared" si="152"/>
        <v>0</v>
      </c>
      <c r="AY57" s="194">
        <f t="shared" si="152"/>
        <v>0</v>
      </c>
      <c r="AZ57" s="194">
        <f t="shared" si="152"/>
        <v>0</v>
      </c>
      <c r="BA57" s="194">
        <f t="shared" si="152"/>
        <v>0</v>
      </c>
      <c r="BB57" s="195">
        <f>SUM(AP57:BA57)</f>
        <v>0</v>
      </c>
      <c r="BC57" s="194">
        <f aca="true" t="shared" si="153" ref="BC57:BN57">$B61-BC56</f>
        <v>0</v>
      </c>
      <c r="BD57" s="194">
        <f t="shared" si="153"/>
        <v>0</v>
      </c>
      <c r="BE57" s="194">
        <f t="shared" si="153"/>
        <v>0</v>
      </c>
      <c r="BF57" s="194">
        <f t="shared" si="153"/>
        <v>0</v>
      </c>
      <c r="BG57" s="194">
        <f t="shared" si="153"/>
        <v>0</v>
      </c>
      <c r="BH57" s="194">
        <f t="shared" si="153"/>
        <v>0</v>
      </c>
      <c r="BI57" s="194">
        <f t="shared" si="153"/>
        <v>0</v>
      </c>
      <c r="BJ57" s="194">
        <f t="shared" si="153"/>
        <v>0</v>
      </c>
      <c r="BK57" s="194">
        <f t="shared" si="153"/>
        <v>0</v>
      </c>
      <c r="BL57" s="194">
        <f t="shared" si="153"/>
        <v>0</v>
      </c>
      <c r="BM57" s="194">
        <f t="shared" si="153"/>
        <v>0</v>
      </c>
      <c r="BN57" s="194">
        <f t="shared" si="153"/>
        <v>0</v>
      </c>
      <c r="BO57" s="195">
        <f>SUM(BC57:BN57)</f>
        <v>0</v>
      </c>
      <c r="BP57" s="194">
        <f aca="true" t="shared" si="154" ref="BP57:CA57">$B61-BP56</f>
        <v>0</v>
      </c>
      <c r="BQ57" s="194">
        <f t="shared" si="154"/>
        <v>0</v>
      </c>
      <c r="BR57" s="194">
        <f t="shared" si="154"/>
        <v>0</v>
      </c>
      <c r="BS57" s="194">
        <f t="shared" si="154"/>
        <v>0</v>
      </c>
      <c r="BT57" s="194">
        <f t="shared" si="154"/>
        <v>0</v>
      </c>
      <c r="BU57" s="194">
        <f t="shared" si="154"/>
        <v>0</v>
      </c>
      <c r="BV57" s="194">
        <f t="shared" si="154"/>
        <v>0</v>
      </c>
      <c r="BW57" s="194">
        <f t="shared" si="154"/>
        <v>0</v>
      </c>
      <c r="BX57" s="194">
        <f t="shared" si="154"/>
        <v>0</v>
      </c>
      <c r="BY57" s="194">
        <f t="shared" si="154"/>
        <v>0</v>
      </c>
      <c r="BZ57" s="194">
        <f t="shared" si="154"/>
        <v>0</v>
      </c>
      <c r="CA57" s="194">
        <f t="shared" si="154"/>
        <v>0</v>
      </c>
      <c r="CB57" s="195">
        <f>SUM(BP57:CA57)</f>
        <v>0</v>
      </c>
      <c r="CC57" s="194">
        <f aca="true" t="shared" si="155" ref="CC57:CN57">$B61-CC56</f>
        <v>0</v>
      </c>
      <c r="CD57" s="194">
        <f t="shared" si="155"/>
        <v>0</v>
      </c>
      <c r="CE57" s="194">
        <f t="shared" si="155"/>
        <v>0</v>
      </c>
      <c r="CF57" s="194">
        <f t="shared" si="155"/>
        <v>0</v>
      </c>
      <c r="CG57" s="194">
        <f t="shared" si="155"/>
        <v>0</v>
      </c>
      <c r="CH57" s="194">
        <f t="shared" si="155"/>
        <v>0</v>
      </c>
      <c r="CI57" s="194">
        <f t="shared" si="155"/>
        <v>0</v>
      </c>
      <c r="CJ57" s="194">
        <f t="shared" si="155"/>
        <v>0</v>
      </c>
      <c r="CK57" s="194">
        <f t="shared" si="155"/>
        <v>0</v>
      </c>
      <c r="CL57" s="194">
        <f t="shared" si="155"/>
        <v>0</v>
      </c>
      <c r="CM57" s="194">
        <f t="shared" si="155"/>
        <v>0</v>
      </c>
      <c r="CN57" s="194">
        <f t="shared" si="155"/>
        <v>0</v>
      </c>
      <c r="CO57" s="195">
        <f>SUM(CC57:CN57)</f>
        <v>0</v>
      </c>
      <c r="CP57" s="194">
        <f aca="true" t="shared" si="156" ref="CP57:CX57">$B61-CP56</f>
        <v>0</v>
      </c>
      <c r="CQ57" s="194">
        <f t="shared" si="156"/>
        <v>0</v>
      </c>
      <c r="CR57" s="194">
        <f t="shared" si="156"/>
        <v>0</v>
      </c>
      <c r="CS57" s="194">
        <f t="shared" si="156"/>
        <v>0</v>
      </c>
      <c r="CT57" s="194">
        <f t="shared" si="156"/>
        <v>0</v>
      </c>
      <c r="CU57" s="194">
        <f t="shared" si="156"/>
        <v>0</v>
      </c>
      <c r="CV57" s="194">
        <f t="shared" si="156"/>
        <v>0</v>
      </c>
      <c r="CW57" s="194">
        <f t="shared" si="156"/>
        <v>0</v>
      </c>
      <c r="CX57" s="194">
        <f t="shared" si="156"/>
        <v>0</v>
      </c>
      <c r="CY57" s="194"/>
      <c r="CZ57" s="194"/>
      <c r="DA57" s="194"/>
      <c r="DB57" s="195">
        <f>SUM(CP57:DA57)</f>
        <v>0</v>
      </c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5">
        <f>SUM(DC57:DN57)</f>
        <v>0</v>
      </c>
    </row>
    <row r="58" spans="1:119" ht="12.75" hidden="1">
      <c r="A58" s="188" t="s">
        <v>15</v>
      </c>
      <c r="B58" s="193">
        <f>O58+AB58+AO58+BB58+BO58+CB58+CO58+DB58+DO58</f>
        <v>0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9"/>
      <c r="M58" s="199"/>
      <c r="N58" s="199"/>
      <c r="O58" s="195">
        <f>SUM(C58:N58)</f>
        <v>0</v>
      </c>
      <c r="P58" s="199"/>
      <c r="Q58" s="199"/>
      <c r="R58" s="199"/>
      <c r="S58" s="199"/>
      <c r="T58" s="199"/>
      <c r="U58" s="199"/>
      <c r="V58" s="194">
        <f aca="true" t="shared" si="157" ref="V58:AA58">V56</f>
        <v>0</v>
      </c>
      <c r="W58" s="194">
        <f t="shared" si="157"/>
        <v>0</v>
      </c>
      <c r="X58" s="194">
        <f t="shared" si="157"/>
        <v>0</v>
      </c>
      <c r="Y58" s="194">
        <f t="shared" si="157"/>
        <v>0</v>
      </c>
      <c r="Z58" s="194">
        <f t="shared" si="157"/>
        <v>0</v>
      </c>
      <c r="AA58" s="194">
        <f t="shared" si="157"/>
        <v>0</v>
      </c>
      <c r="AB58" s="195">
        <f>SUM(P58:AA58)</f>
        <v>0</v>
      </c>
      <c r="AC58" s="194">
        <f aca="true" t="shared" si="158" ref="AC58:AK58">AC56</f>
        <v>0</v>
      </c>
      <c r="AD58" s="194">
        <f t="shared" si="158"/>
        <v>0</v>
      </c>
      <c r="AE58" s="194">
        <f t="shared" si="158"/>
        <v>0</v>
      </c>
      <c r="AF58" s="194">
        <f t="shared" si="158"/>
        <v>0</v>
      </c>
      <c r="AG58" s="194">
        <f t="shared" si="158"/>
        <v>0</v>
      </c>
      <c r="AH58" s="194">
        <f t="shared" si="158"/>
        <v>0</v>
      </c>
      <c r="AI58" s="194">
        <f t="shared" si="158"/>
        <v>0</v>
      </c>
      <c r="AJ58" s="194">
        <f t="shared" si="158"/>
        <v>0</v>
      </c>
      <c r="AK58" s="194">
        <f t="shared" si="158"/>
        <v>0</v>
      </c>
      <c r="AL58" s="194">
        <f>AL56</f>
        <v>0</v>
      </c>
      <c r="AM58" s="194">
        <f>AM56</f>
        <v>0</v>
      </c>
      <c r="AN58" s="194">
        <f>AN56</f>
        <v>0</v>
      </c>
      <c r="AO58" s="195">
        <f>SUM(AC58:AN58)</f>
        <v>0</v>
      </c>
      <c r="AP58" s="194">
        <f aca="true" t="shared" si="159" ref="AP58:BA58">AP56</f>
        <v>0</v>
      </c>
      <c r="AQ58" s="194">
        <f t="shared" si="159"/>
        <v>0</v>
      </c>
      <c r="AR58" s="194">
        <f t="shared" si="159"/>
        <v>0</v>
      </c>
      <c r="AS58" s="194">
        <f t="shared" si="159"/>
        <v>0</v>
      </c>
      <c r="AT58" s="194">
        <f t="shared" si="159"/>
        <v>0</v>
      </c>
      <c r="AU58" s="194">
        <f t="shared" si="159"/>
        <v>0</v>
      </c>
      <c r="AV58" s="194">
        <f t="shared" si="159"/>
        <v>0</v>
      </c>
      <c r="AW58" s="194">
        <f t="shared" si="159"/>
        <v>0</v>
      </c>
      <c r="AX58" s="194">
        <f t="shared" si="159"/>
        <v>0</v>
      </c>
      <c r="AY58" s="194">
        <f t="shared" si="159"/>
        <v>0</v>
      </c>
      <c r="AZ58" s="194">
        <f t="shared" si="159"/>
        <v>0</v>
      </c>
      <c r="BA58" s="194">
        <f t="shared" si="159"/>
        <v>0</v>
      </c>
      <c r="BB58" s="195">
        <f>SUM(AP58:BA58)</f>
        <v>0</v>
      </c>
      <c r="BC58" s="194">
        <f aca="true" t="shared" si="160" ref="BC58:BN58">BC56</f>
        <v>0</v>
      </c>
      <c r="BD58" s="194">
        <f t="shared" si="160"/>
        <v>0</v>
      </c>
      <c r="BE58" s="194">
        <f t="shared" si="160"/>
        <v>0</v>
      </c>
      <c r="BF58" s="194">
        <f t="shared" si="160"/>
        <v>0</v>
      </c>
      <c r="BG58" s="194">
        <f t="shared" si="160"/>
        <v>0</v>
      </c>
      <c r="BH58" s="194">
        <f t="shared" si="160"/>
        <v>0</v>
      </c>
      <c r="BI58" s="194">
        <f t="shared" si="160"/>
        <v>0</v>
      </c>
      <c r="BJ58" s="194">
        <f t="shared" si="160"/>
        <v>0</v>
      </c>
      <c r="BK58" s="194">
        <f t="shared" si="160"/>
        <v>0</v>
      </c>
      <c r="BL58" s="194">
        <f t="shared" si="160"/>
        <v>0</v>
      </c>
      <c r="BM58" s="194">
        <f t="shared" si="160"/>
        <v>0</v>
      </c>
      <c r="BN58" s="194">
        <f t="shared" si="160"/>
        <v>0</v>
      </c>
      <c r="BO58" s="195">
        <f>SUM(BC58:BN58)</f>
        <v>0</v>
      </c>
      <c r="BP58" s="194">
        <f aca="true" t="shared" si="161" ref="BP58:CA58">BP56</f>
        <v>0</v>
      </c>
      <c r="BQ58" s="194">
        <f t="shared" si="161"/>
        <v>0</v>
      </c>
      <c r="BR58" s="194">
        <f t="shared" si="161"/>
        <v>0</v>
      </c>
      <c r="BS58" s="194">
        <f t="shared" si="161"/>
        <v>0</v>
      </c>
      <c r="BT58" s="194">
        <f t="shared" si="161"/>
        <v>0</v>
      </c>
      <c r="BU58" s="194">
        <f t="shared" si="161"/>
        <v>0</v>
      </c>
      <c r="BV58" s="194">
        <f t="shared" si="161"/>
        <v>0</v>
      </c>
      <c r="BW58" s="194">
        <f t="shared" si="161"/>
        <v>0</v>
      </c>
      <c r="BX58" s="194">
        <f t="shared" si="161"/>
        <v>0</v>
      </c>
      <c r="BY58" s="194">
        <f t="shared" si="161"/>
        <v>0</v>
      </c>
      <c r="BZ58" s="194">
        <f t="shared" si="161"/>
        <v>0</v>
      </c>
      <c r="CA58" s="194">
        <f t="shared" si="161"/>
        <v>0</v>
      </c>
      <c r="CB58" s="195">
        <f>SUM(BP58:CA58)</f>
        <v>0</v>
      </c>
      <c r="CC58" s="194">
        <f aca="true" t="shared" si="162" ref="CC58:CN58">CC56</f>
        <v>0</v>
      </c>
      <c r="CD58" s="194">
        <f t="shared" si="162"/>
        <v>0</v>
      </c>
      <c r="CE58" s="194">
        <f t="shared" si="162"/>
        <v>0</v>
      </c>
      <c r="CF58" s="194">
        <f t="shared" si="162"/>
        <v>0</v>
      </c>
      <c r="CG58" s="194">
        <f t="shared" si="162"/>
        <v>0</v>
      </c>
      <c r="CH58" s="194">
        <f t="shared" si="162"/>
        <v>0</v>
      </c>
      <c r="CI58" s="194">
        <f t="shared" si="162"/>
        <v>0</v>
      </c>
      <c r="CJ58" s="194">
        <f t="shared" si="162"/>
        <v>0</v>
      </c>
      <c r="CK58" s="194">
        <f t="shared" si="162"/>
        <v>0</v>
      </c>
      <c r="CL58" s="194">
        <f t="shared" si="162"/>
        <v>0</v>
      </c>
      <c r="CM58" s="194">
        <f t="shared" si="162"/>
        <v>0</v>
      </c>
      <c r="CN58" s="194">
        <f t="shared" si="162"/>
        <v>0</v>
      </c>
      <c r="CO58" s="195">
        <f>SUM(CC58:CN58)</f>
        <v>0</v>
      </c>
      <c r="CP58" s="194">
        <f aca="true" t="shared" si="163" ref="CP58:DA58">CP56</f>
        <v>0</v>
      </c>
      <c r="CQ58" s="194">
        <f t="shared" si="163"/>
        <v>0</v>
      </c>
      <c r="CR58" s="194">
        <f t="shared" si="163"/>
        <v>0</v>
      </c>
      <c r="CS58" s="194">
        <f t="shared" si="163"/>
        <v>0</v>
      </c>
      <c r="CT58" s="194">
        <f t="shared" si="163"/>
        <v>0</v>
      </c>
      <c r="CU58" s="194">
        <f t="shared" si="163"/>
        <v>0</v>
      </c>
      <c r="CV58" s="194">
        <f t="shared" si="163"/>
        <v>0</v>
      </c>
      <c r="CW58" s="194">
        <f t="shared" si="163"/>
        <v>0</v>
      </c>
      <c r="CX58" s="194">
        <f t="shared" si="163"/>
        <v>0</v>
      </c>
      <c r="CY58" s="194">
        <f t="shared" si="163"/>
        <v>0</v>
      </c>
      <c r="CZ58" s="194">
        <f t="shared" si="163"/>
        <v>0</v>
      </c>
      <c r="DA58" s="194">
        <f t="shared" si="163"/>
        <v>0</v>
      </c>
      <c r="DB58" s="195">
        <f>SUM(CP58:DA58)</f>
        <v>0</v>
      </c>
      <c r="DC58" s="194">
        <f aca="true" t="shared" si="164" ref="DC58:DN58">DC56</f>
        <v>0</v>
      </c>
      <c r="DD58" s="194">
        <f t="shared" si="164"/>
        <v>0</v>
      </c>
      <c r="DE58" s="194">
        <f t="shared" si="164"/>
        <v>0</v>
      </c>
      <c r="DF58" s="194">
        <f t="shared" si="164"/>
        <v>0</v>
      </c>
      <c r="DG58" s="194">
        <f t="shared" si="164"/>
        <v>0</v>
      </c>
      <c r="DH58" s="194">
        <f t="shared" si="164"/>
        <v>0</v>
      </c>
      <c r="DI58" s="194">
        <f t="shared" si="164"/>
        <v>0</v>
      </c>
      <c r="DJ58" s="194">
        <f t="shared" si="164"/>
        <v>0</v>
      </c>
      <c r="DK58" s="194">
        <f t="shared" si="164"/>
        <v>0</v>
      </c>
      <c r="DL58" s="194">
        <f t="shared" si="164"/>
        <v>0</v>
      </c>
      <c r="DM58" s="194">
        <f t="shared" si="164"/>
        <v>0</v>
      </c>
      <c r="DN58" s="194">
        <f t="shared" si="164"/>
        <v>0</v>
      </c>
      <c r="DO58" s="195">
        <f>SUM(DC58:DN58)</f>
        <v>0</v>
      </c>
    </row>
    <row r="59" spans="1:119" ht="12.75" hidden="1">
      <c r="A59" s="188" t="s">
        <v>16</v>
      </c>
      <c r="B59" s="193">
        <f>DO59</f>
        <v>0</v>
      </c>
      <c r="C59" s="194">
        <f>C54</f>
        <v>0</v>
      </c>
      <c r="D59" s="194">
        <f aca="true" t="shared" si="165" ref="D59:N59">C59+D54-D57+D55</f>
        <v>0</v>
      </c>
      <c r="E59" s="194">
        <f t="shared" si="165"/>
        <v>0</v>
      </c>
      <c r="F59" s="194">
        <f t="shared" si="165"/>
        <v>0</v>
      </c>
      <c r="G59" s="194">
        <f t="shared" si="165"/>
        <v>0</v>
      </c>
      <c r="H59" s="194">
        <f t="shared" si="165"/>
        <v>0</v>
      </c>
      <c r="I59" s="194">
        <f t="shared" si="165"/>
        <v>0</v>
      </c>
      <c r="J59" s="194">
        <f t="shared" si="165"/>
        <v>0</v>
      </c>
      <c r="K59" s="194">
        <f t="shared" si="165"/>
        <v>0</v>
      </c>
      <c r="L59" s="194">
        <f t="shared" si="165"/>
        <v>0</v>
      </c>
      <c r="M59" s="194">
        <f t="shared" si="165"/>
        <v>0</v>
      </c>
      <c r="N59" s="194">
        <f t="shared" si="165"/>
        <v>0</v>
      </c>
      <c r="O59" s="195">
        <f>N59</f>
        <v>0</v>
      </c>
      <c r="P59" s="194">
        <f aca="true" t="shared" si="166" ref="P59:AA59">O59+P54-P57+P55</f>
        <v>0</v>
      </c>
      <c r="Q59" s="194">
        <f t="shared" si="166"/>
        <v>0</v>
      </c>
      <c r="R59" s="194">
        <f t="shared" si="166"/>
        <v>0</v>
      </c>
      <c r="S59" s="194">
        <f t="shared" si="166"/>
        <v>0</v>
      </c>
      <c r="T59" s="194">
        <f t="shared" si="166"/>
        <v>0</v>
      </c>
      <c r="U59" s="194">
        <f t="shared" si="166"/>
        <v>0</v>
      </c>
      <c r="V59" s="194">
        <f t="shared" si="166"/>
        <v>0</v>
      </c>
      <c r="W59" s="194">
        <f t="shared" si="166"/>
        <v>0</v>
      </c>
      <c r="X59" s="194">
        <f t="shared" si="166"/>
        <v>0</v>
      </c>
      <c r="Y59" s="194">
        <f t="shared" si="166"/>
        <v>0</v>
      </c>
      <c r="Z59" s="194">
        <f t="shared" si="166"/>
        <v>0</v>
      </c>
      <c r="AA59" s="194">
        <f t="shared" si="166"/>
        <v>0</v>
      </c>
      <c r="AB59" s="195">
        <f>AA59</f>
        <v>0</v>
      </c>
      <c r="AC59" s="194">
        <f aca="true" t="shared" si="167" ref="AC59:AN59">AB59+AC54-AC57+AC55</f>
        <v>0</v>
      </c>
      <c r="AD59" s="194">
        <f t="shared" si="167"/>
        <v>0</v>
      </c>
      <c r="AE59" s="194">
        <f t="shared" si="167"/>
        <v>0</v>
      </c>
      <c r="AF59" s="194">
        <f t="shared" si="167"/>
        <v>0</v>
      </c>
      <c r="AG59" s="194">
        <f t="shared" si="167"/>
        <v>0</v>
      </c>
      <c r="AH59" s="194">
        <f t="shared" si="167"/>
        <v>0</v>
      </c>
      <c r="AI59" s="194">
        <f t="shared" si="167"/>
        <v>0</v>
      </c>
      <c r="AJ59" s="194">
        <f t="shared" si="167"/>
        <v>0</v>
      </c>
      <c r="AK59" s="194">
        <f t="shared" si="167"/>
        <v>0</v>
      </c>
      <c r="AL59" s="194">
        <f t="shared" si="167"/>
        <v>0</v>
      </c>
      <c r="AM59" s="194">
        <f t="shared" si="167"/>
        <v>0</v>
      </c>
      <c r="AN59" s="194">
        <f t="shared" si="167"/>
        <v>0</v>
      </c>
      <c r="AO59" s="195">
        <f>AN59</f>
        <v>0</v>
      </c>
      <c r="AP59" s="194">
        <f aca="true" t="shared" si="168" ref="AP59:BA59">AO59+AP54-AP57+AP55</f>
        <v>0</v>
      </c>
      <c r="AQ59" s="194">
        <f t="shared" si="168"/>
        <v>0</v>
      </c>
      <c r="AR59" s="194">
        <f t="shared" si="168"/>
        <v>0</v>
      </c>
      <c r="AS59" s="194">
        <f t="shared" si="168"/>
        <v>0</v>
      </c>
      <c r="AT59" s="194">
        <f t="shared" si="168"/>
        <v>0</v>
      </c>
      <c r="AU59" s="194">
        <f t="shared" si="168"/>
        <v>0</v>
      </c>
      <c r="AV59" s="194">
        <f t="shared" si="168"/>
        <v>0</v>
      </c>
      <c r="AW59" s="194">
        <f t="shared" si="168"/>
        <v>0</v>
      </c>
      <c r="AX59" s="194">
        <f t="shared" si="168"/>
        <v>0</v>
      </c>
      <c r="AY59" s="194">
        <f t="shared" si="168"/>
        <v>0</v>
      </c>
      <c r="AZ59" s="194">
        <f t="shared" si="168"/>
        <v>0</v>
      </c>
      <c r="BA59" s="194">
        <f t="shared" si="168"/>
        <v>0</v>
      </c>
      <c r="BB59" s="195">
        <f>BA59</f>
        <v>0</v>
      </c>
      <c r="BC59" s="194">
        <f aca="true" t="shared" si="169" ref="BC59:BN59">BB59+BC54-BC57+BC55</f>
        <v>0</v>
      </c>
      <c r="BD59" s="194">
        <f t="shared" si="169"/>
        <v>0</v>
      </c>
      <c r="BE59" s="194">
        <f t="shared" si="169"/>
        <v>0</v>
      </c>
      <c r="BF59" s="194">
        <f t="shared" si="169"/>
        <v>0</v>
      </c>
      <c r="BG59" s="194">
        <f t="shared" si="169"/>
        <v>0</v>
      </c>
      <c r="BH59" s="194">
        <f t="shared" si="169"/>
        <v>0</v>
      </c>
      <c r="BI59" s="194">
        <f t="shared" si="169"/>
        <v>0</v>
      </c>
      <c r="BJ59" s="194">
        <f t="shared" si="169"/>
        <v>0</v>
      </c>
      <c r="BK59" s="194">
        <f t="shared" si="169"/>
        <v>0</v>
      </c>
      <c r="BL59" s="194">
        <f t="shared" si="169"/>
        <v>0</v>
      </c>
      <c r="BM59" s="194">
        <f t="shared" si="169"/>
        <v>0</v>
      </c>
      <c r="BN59" s="194">
        <f t="shared" si="169"/>
        <v>0</v>
      </c>
      <c r="BO59" s="195">
        <f>BN59</f>
        <v>0</v>
      </c>
      <c r="BP59" s="194">
        <f aca="true" t="shared" si="170" ref="BP59:CA59">BO59+BP54-BP57+BP55</f>
        <v>0</v>
      </c>
      <c r="BQ59" s="194">
        <f t="shared" si="170"/>
        <v>0</v>
      </c>
      <c r="BR59" s="194">
        <f t="shared" si="170"/>
        <v>0</v>
      </c>
      <c r="BS59" s="194">
        <f t="shared" si="170"/>
        <v>0</v>
      </c>
      <c r="BT59" s="194">
        <f t="shared" si="170"/>
        <v>0</v>
      </c>
      <c r="BU59" s="194">
        <f t="shared" si="170"/>
        <v>0</v>
      </c>
      <c r="BV59" s="194">
        <f t="shared" si="170"/>
        <v>0</v>
      </c>
      <c r="BW59" s="194">
        <f t="shared" si="170"/>
        <v>0</v>
      </c>
      <c r="BX59" s="194">
        <f t="shared" si="170"/>
        <v>0</v>
      </c>
      <c r="BY59" s="194">
        <f t="shared" si="170"/>
        <v>0</v>
      </c>
      <c r="BZ59" s="194">
        <f t="shared" si="170"/>
        <v>0</v>
      </c>
      <c r="CA59" s="194">
        <f t="shared" si="170"/>
        <v>0</v>
      </c>
      <c r="CB59" s="195">
        <f>CA59</f>
        <v>0</v>
      </c>
      <c r="CC59" s="194">
        <f aca="true" t="shared" si="171" ref="CC59:CN59">CB59+CC54-CC57+CC55</f>
        <v>0</v>
      </c>
      <c r="CD59" s="194">
        <f t="shared" si="171"/>
        <v>0</v>
      </c>
      <c r="CE59" s="194">
        <f t="shared" si="171"/>
        <v>0</v>
      </c>
      <c r="CF59" s="194">
        <f t="shared" si="171"/>
        <v>0</v>
      </c>
      <c r="CG59" s="194">
        <f t="shared" si="171"/>
        <v>0</v>
      </c>
      <c r="CH59" s="194">
        <f t="shared" si="171"/>
        <v>0</v>
      </c>
      <c r="CI59" s="194">
        <f t="shared" si="171"/>
        <v>0</v>
      </c>
      <c r="CJ59" s="194">
        <f t="shared" si="171"/>
        <v>0</v>
      </c>
      <c r="CK59" s="194">
        <f t="shared" si="171"/>
        <v>0</v>
      </c>
      <c r="CL59" s="194">
        <f t="shared" si="171"/>
        <v>0</v>
      </c>
      <c r="CM59" s="194">
        <f t="shared" si="171"/>
        <v>0</v>
      </c>
      <c r="CN59" s="194">
        <f t="shared" si="171"/>
        <v>0</v>
      </c>
      <c r="CO59" s="195">
        <f>CN59</f>
        <v>0</v>
      </c>
      <c r="CP59" s="194">
        <f aca="true" t="shared" si="172" ref="CP59:DA59">CO59+CP54-CP57+CP55</f>
        <v>0</v>
      </c>
      <c r="CQ59" s="194">
        <f t="shared" si="172"/>
        <v>0</v>
      </c>
      <c r="CR59" s="194">
        <f t="shared" si="172"/>
        <v>0</v>
      </c>
      <c r="CS59" s="194">
        <f t="shared" si="172"/>
        <v>0</v>
      </c>
      <c r="CT59" s="194">
        <f t="shared" si="172"/>
        <v>0</v>
      </c>
      <c r="CU59" s="194">
        <f t="shared" si="172"/>
        <v>0</v>
      </c>
      <c r="CV59" s="194">
        <f t="shared" si="172"/>
        <v>0</v>
      </c>
      <c r="CW59" s="194">
        <f t="shared" si="172"/>
        <v>0</v>
      </c>
      <c r="CX59" s="194">
        <f t="shared" si="172"/>
        <v>0</v>
      </c>
      <c r="CY59" s="194">
        <f t="shared" si="172"/>
        <v>0</v>
      </c>
      <c r="CZ59" s="194">
        <f t="shared" si="172"/>
        <v>0</v>
      </c>
      <c r="DA59" s="194">
        <f t="shared" si="172"/>
        <v>0</v>
      </c>
      <c r="DB59" s="195">
        <f>DA59</f>
        <v>0</v>
      </c>
      <c r="DC59" s="194">
        <f aca="true" t="shared" si="173" ref="DC59:DN59">DB59+DC54-DC57+DC55</f>
        <v>0</v>
      </c>
      <c r="DD59" s="194">
        <f t="shared" si="173"/>
        <v>0</v>
      </c>
      <c r="DE59" s="194">
        <f t="shared" si="173"/>
        <v>0</v>
      </c>
      <c r="DF59" s="194">
        <f t="shared" si="173"/>
        <v>0</v>
      </c>
      <c r="DG59" s="194">
        <f t="shared" si="173"/>
        <v>0</v>
      </c>
      <c r="DH59" s="194">
        <f t="shared" si="173"/>
        <v>0</v>
      </c>
      <c r="DI59" s="194">
        <f t="shared" si="173"/>
        <v>0</v>
      </c>
      <c r="DJ59" s="194">
        <f t="shared" si="173"/>
        <v>0</v>
      </c>
      <c r="DK59" s="194">
        <f t="shared" si="173"/>
        <v>0</v>
      </c>
      <c r="DL59" s="194">
        <f t="shared" si="173"/>
        <v>0</v>
      </c>
      <c r="DM59" s="194">
        <f t="shared" si="173"/>
        <v>0</v>
      </c>
      <c r="DN59" s="194">
        <f t="shared" si="173"/>
        <v>0</v>
      </c>
      <c r="DO59" s="195">
        <f>DN59</f>
        <v>0</v>
      </c>
    </row>
    <row r="60" spans="1:119" ht="12.75" hidden="1">
      <c r="A60" s="177" t="s">
        <v>78</v>
      </c>
      <c r="B60" s="277">
        <f>Исх!$C$42*12-Исх!$C$43</f>
        <v>75</v>
      </c>
      <c r="CP60" s="180"/>
      <c r="DB60" s="177"/>
      <c r="DO60" s="177"/>
    </row>
    <row r="61" spans="1:119" ht="12.75" hidden="1">
      <c r="A61" s="280" t="s">
        <v>250</v>
      </c>
      <c r="B61" s="281">
        <f>$U$59*$B$20/12/((1-(1+$B$20/12)^-$B60))</f>
        <v>0</v>
      </c>
      <c r="DB61" s="177"/>
      <c r="DO61" s="177"/>
    </row>
    <row r="62" spans="1:119" ht="6" customHeight="1" hidden="1">
      <c r="A62" s="278"/>
      <c r="B62" s="275"/>
      <c r="DB62" s="177"/>
      <c r="DO62" s="177"/>
    </row>
    <row r="63" spans="1:119" ht="12.75" hidden="1">
      <c r="A63" s="263" t="s">
        <v>241</v>
      </c>
      <c r="DB63" s="177"/>
      <c r="DO63" s="177"/>
    </row>
    <row r="64" spans="1:119" ht="12.75" hidden="1" outlineLevel="1">
      <c r="A64" s="264">
        <f>B54+B55-B57</f>
        <v>0</v>
      </c>
      <c r="DB64" s="177"/>
      <c r="DO64" s="177"/>
    </row>
    <row r="65" spans="1:119" ht="12.75" hidden="1" outlineLevel="1">
      <c r="A65" s="264">
        <f>B56-B55-B58</f>
        <v>0</v>
      </c>
      <c r="DB65" s="177"/>
      <c r="DO65" s="177"/>
    </row>
    <row r="66" ht="12.75" hidden="1" collapsed="1"/>
    <row r="67" spans="1:119" ht="12.75">
      <c r="A67" s="289" t="s">
        <v>273</v>
      </c>
      <c r="B67" s="290"/>
      <c r="DB67" s="177"/>
      <c r="DO67" s="177"/>
    </row>
    <row r="68" spans="1:119" ht="15.75" customHeight="1">
      <c r="A68" s="186" t="s">
        <v>11</v>
      </c>
      <c r="B68" s="279">
        <f>Исх!$C$41</f>
        <v>0.07</v>
      </c>
      <c r="C68" s="371">
        <v>2013</v>
      </c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>
        <v>2014</v>
      </c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>
        <v>2015</v>
      </c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  <c r="AO68" s="371"/>
      <c r="AP68" s="371">
        <v>2016</v>
      </c>
      <c r="AQ68" s="371"/>
      <c r="AR68" s="371"/>
      <c r="AS68" s="371"/>
      <c r="AT68" s="371"/>
      <c r="AU68" s="371"/>
      <c r="AV68" s="371"/>
      <c r="AW68" s="371"/>
      <c r="AX68" s="371"/>
      <c r="AY68" s="371"/>
      <c r="AZ68" s="371"/>
      <c r="BA68" s="371"/>
      <c r="BB68" s="371"/>
      <c r="BC68" s="371">
        <v>2017</v>
      </c>
      <c r="BD68" s="371"/>
      <c r="BE68" s="371"/>
      <c r="BF68" s="371"/>
      <c r="BG68" s="371"/>
      <c r="BH68" s="371"/>
      <c r="BI68" s="371"/>
      <c r="BJ68" s="371"/>
      <c r="BK68" s="371"/>
      <c r="BL68" s="371"/>
      <c r="BM68" s="371"/>
      <c r="BN68" s="371"/>
      <c r="BO68" s="371"/>
      <c r="BP68" s="371">
        <v>2018</v>
      </c>
      <c r="BQ68" s="371"/>
      <c r="BR68" s="371"/>
      <c r="BS68" s="371"/>
      <c r="BT68" s="371"/>
      <c r="BU68" s="371"/>
      <c r="BV68" s="371"/>
      <c r="BW68" s="371"/>
      <c r="BX68" s="371"/>
      <c r="BY68" s="371"/>
      <c r="BZ68" s="371"/>
      <c r="CA68" s="371"/>
      <c r="CB68" s="371"/>
      <c r="CC68" s="371">
        <v>2019</v>
      </c>
      <c r="CD68" s="371"/>
      <c r="CE68" s="371"/>
      <c r="CF68" s="371"/>
      <c r="CG68" s="371"/>
      <c r="CH68" s="371"/>
      <c r="CI68" s="371"/>
      <c r="CJ68" s="371"/>
      <c r="CK68" s="371"/>
      <c r="CL68" s="371"/>
      <c r="CM68" s="371"/>
      <c r="CN68" s="371"/>
      <c r="CO68" s="371"/>
      <c r="CP68" s="371">
        <v>2020</v>
      </c>
      <c r="CQ68" s="371"/>
      <c r="CR68" s="371"/>
      <c r="CS68" s="371"/>
      <c r="CT68" s="371"/>
      <c r="CU68" s="371"/>
      <c r="CV68" s="371"/>
      <c r="CW68" s="371"/>
      <c r="CX68" s="371"/>
      <c r="CY68" s="371"/>
      <c r="CZ68" s="371"/>
      <c r="DA68" s="371"/>
      <c r="DB68" s="371"/>
      <c r="DC68" s="371">
        <v>2021</v>
      </c>
      <c r="DD68" s="371"/>
      <c r="DE68" s="371"/>
      <c r="DF68" s="371"/>
      <c r="DG68" s="371"/>
      <c r="DH68" s="371"/>
      <c r="DI68" s="371"/>
      <c r="DJ68" s="371"/>
      <c r="DK68" s="371"/>
      <c r="DL68" s="371"/>
      <c r="DM68" s="371"/>
      <c r="DN68" s="371"/>
      <c r="DO68" s="371"/>
    </row>
    <row r="69" spans="1:119" s="192" customFormat="1" ht="15" customHeight="1">
      <c r="A69" s="188" t="s">
        <v>9</v>
      </c>
      <c r="B69" s="189" t="s">
        <v>89</v>
      </c>
      <c r="C69" s="190">
        <v>1</v>
      </c>
      <c r="D69" s="190">
        <v>2</v>
      </c>
      <c r="E69" s="190">
        <f aca="true" t="shared" si="174" ref="E69:N69">D69+1</f>
        <v>3</v>
      </c>
      <c r="F69" s="190">
        <f t="shared" si="174"/>
        <v>4</v>
      </c>
      <c r="G69" s="190">
        <f t="shared" si="174"/>
        <v>5</v>
      </c>
      <c r="H69" s="190">
        <f t="shared" si="174"/>
        <v>6</v>
      </c>
      <c r="I69" s="190">
        <f t="shared" si="174"/>
        <v>7</v>
      </c>
      <c r="J69" s="190">
        <f t="shared" si="174"/>
        <v>8</v>
      </c>
      <c r="K69" s="190">
        <f t="shared" si="174"/>
        <v>9</v>
      </c>
      <c r="L69" s="190">
        <f t="shared" si="174"/>
        <v>10</v>
      </c>
      <c r="M69" s="190">
        <f t="shared" si="174"/>
        <v>11</v>
      </c>
      <c r="N69" s="190">
        <f t="shared" si="174"/>
        <v>12</v>
      </c>
      <c r="O69" s="191" t="str">
        <f>O53</f>
        <v>Итого</v>
      </c>
      <c r="P69" s="190">
        <v>1</v>
      </c>
      <c r="Q69" s="190">
        <v>2</v>
      </c>
      <c r="R69" s="190">
        <f aca="true" t="shared" si="175" ref="R69:AA69">Q69+1</f>
        <v>3</v>
      </c>
      <c r="S69" s="190">
        <f t="shared" si="175"/>
        <v>4</v>
      </c>
      <c r="T69" s="190">
        <f t="shared" si="175"/>
        <v>5</v>
      </c>
      <c r="U69" s="190">
        <f t="shared" si="175"/>
        <v>6</v>
      </c>
      <c r="V69" s="190">
        <f t="shared" si="175"/>
        <v>7</v>
      </c>
      <c r="W69" s="190">
        <f t="shared" si="175"/>
        <v>8</v>
      </c>
      <c r="X69" s="190">
        <f t="shared" si="175"/>
        <v>9</v>
      </c>
      <c r="Y69" s="190">
        <f t="shared" si="175"/>
        <v>10</v>
      </c>
      <c r="Z69" s="190">
        <f t="shared" si="175"/>
        <v>11</v>
      </c>
      <c r="AA69" s="190">
        <f t="shared" si="175"/>
        <v>12</v>
      </c>
      <c r="AB69" s="191" t="str">
        <f>AB53</f>
        <v>Итого</v>
      </c>
      <c r="AC69" s="190">
        <v>1</v>
      </c>
      <c r="AD69" s="190">
        <v>2</v>
      </c>
      <c r="AE69" s="190">
        <f aca="true" t="shared" si="176" ref="AE69:AN69">AD69+1</f>
        <v>3</v>
      </c>
      <c r="AF69" s="190">
        <f t="shared" si="176"/>
        <v>4</v>
      </c>
      <c r="AG69" s="190">
        <f t="shared" si="176"/>
        <v>5</v>
      </c>
      <c r="AH69" s="190">
        <f t="shared" si="176"/>
        <v>6</v>
      </c>
      <c r="AI69" s="190">
        <f t="shared" si="176"/>
        <v>7</v>
      </c>
      <c r="AJ69" s="190">
        <f t="shared" si="176"/>
        <v>8</v>
      </c>
      <c r="AK69" s="190">
        <f t="shared" si="176"/>
        <v>9</v>
      </c>
      <c r="AL69" s="190">
        <f t="shared" si="176"/>
        <v>10</v>
      </c>
      <c r="AM69" s="190">
        <f t="shared" si="176"/>
        <v>11</v>
      </c>
      <c r="AN69" s="190">
        <f t="shared" si="176"/>
        <v>12</v>
      </c>
      <c r="AO69" s="191" t="str">
        <f>AO53</f>
        <v>Итого</v>
      </c>
      <c r="AP69" s="190">
        <v>1</v>
      </c>
      <c r="AQ69" s="190">
        <v>2</v>
      </c>
      <c r="AR69" s="190">
        <f aca="true" t="shared" si="177" ref="AR69:BA69">AQ69+1</f>
        <v>3</v>
      </c>
      <c r="AS69" s="190">
        <f t="shared" si="177"/>
        <v>4</v>
      </c>
      <c r="AT69" s="190">
        <f t="shared" si="177"/>
        <v>5</v>
      </c>
      <c r="AU69" s="190">
        <f t="shared" si="177"/>
        <v>6</v>
      </c>
      <c r="AV69" s="190">
        <f t="shared" si="177"/>
        <v>7</v>
      </c>
      <c r="AW69" s="190">
        <f t="shared" si="177"/>
        <v>8</v>
      </c>
      <c r="AX69" s="190">
        <f t="shared" si="177"/>
        <v>9</v>
      </c>
      <c r="AY69" s="190">
        <f t="shared" si="177"/>
        <v>10</v>
      </c>
      <c r="AZ69" s="190">
        <f t="shared" si="177"/>
        <v>11</v>
      </c>
      <c r="BA69" s="190">
        <f t="shared" si="177"/>
        <v>12</v>
      </c>
      <c r="BB69" s="191" t="str">
        <f>BB53</f>
        <v>Итого</v>
      </c>
      <c r="BC69" s="190">
        <v>1</v>
      </c>
      <c r="BD69" s="190">
        <v>2</v>
      </c>
      <c r="BE69" s="190">
        <f aca="true" t="shared" si="178" ref="BE69:BN69">BD69+1</f>
        <v>3</v>
      </c>
      <c r="BF69" s="190">
        <f t="shared" si="178"/>
        <v>4</v>
      </c>
      <c r="BG69" s="190">
        <f t="shared" si="178"/>
        <v>5</v>
      </c>
      <c r="BH69" s="190">
        <f t="shared" si="178"/>
        <v>6</v>
      </c>
      <c r="BI69" s="190">
        <f t="shared" si="178"/>
        <v>7</v>
      </c>
      <c r="BJ69" s="190">
        <f t="shared" si="178"/>
        <v>8</v>
      </c>
      <c r="BK69" s="190">
        <f t="shared" si="178"/>
        <v>9</v>
      </c>
      <c r="BL69" s="190">
        <f t="shared" si="178"/>
        <v>10</v>
      </c>
      <c r="BM69" s="190">
        <f t="shared" si="178"/>
        <v>11</v>
      </c>
      <c r="BN69" s="190">
        <f t="shared" si="178"/>
        <v>12</v>
      </c>
      <c r="BO69" s="191" t="str">
        <f>BO53</f>
        <v>Итого</v>
      </c>
      <c r="BP69" s="190">
        <v>1</v>
      </c>
      <c r="BQ69" s="190">
        <v>2</v>
      </c>
      <c r="BR69" s="190">
        <f aca="true" t="shared" si="179" ref="BR69:CA69">BQ69+1</f>
        <v>3</v>
      </c>
      <c r="BS69" s="190">
        <f t="shared" si="179"/>
        <v>4</v>
      </c>
      <c r="BT69" s="190">
        <f t="shared" si="179"/>
        <v>5</v>
      </c>
      <c r="BU69" s="190">
        <f t="shared" si="179"/>
        <v>6</v>
      </c>
      <c r="BV69" s="190">
        <f t="shared" si="179"/>
        <v>7</v>
      </c>
      <c r="BW69" s="190">
        <f t="shared" si="179"/>
        <v>8</v>
      </c>
      <c r="BX69" s="190">
        <f t="shared" si="179"/>
        <v>9</v>
      </c>
      <c r="BY69" s="190">
        <f t="shared" si="179"/>
        <v>10</v>
      </c>
      <c r="BZ69" s="190">
        <f t="shared" si="179"/>
        <v>11</v>
      </c>
      <c r="CA69" s="190">
        <f t="shared" si="179"/>
        <v>12</v>
      </c>
      <c r="CB69" s="191" t="str">
        <f>CB53</f>
        <v>Итого</v>
      </c>
      <c r="CC69" s="190">
        <v>1</v>
      </c>
      <c r="CD69" s="190">
        <v>2</v>
      </c>
      <c r="CE69" s="190">
        <f aca="true" t="shared" si="180" ref="CE69:CN69">CD69+1</f>
        <v>3</v>
      </c>
      <c r="CF69" s="190">
        <f t="shared" si="180"/>
        <v>4</v>
      </c>
      <c r="CG69" s="190">
        <f t="shared" si="180"/>
        <v>5</v>
      </c>
      <c r="CH69" s="190">
        <f t="shared" si="180"/>
        <v>6</v>
      </c>
      <c r="CI69" s="190">
        <f t="shared" si="180"/>
        <v>7</v>
      </c>
      <c r="CJ69" s="190">
        <f t="shared" si="180"/>
        <v>8</v>
      </c>
      <c r="CK69" s="190">
        <f t="shared" si="180"/>
        <v>9</v>
      </c>
      <c r="CL69" s="190">
        <f t="shared" si="180"/>
        <v>10</v>
      </c>
      <c r="CM69" s="190">
        <f t="shared" si="180"/>
        <v>11</v>
      </c>
      <c r="CN69" s="190">
        <f t="shared" si="180"/>
        <v>12</v>
      </c>
      <c r="CO69" s="191" t="str">
        <f>CO53</f>
        <v>Итого</v>
      </c>
      <c r="CP69" s="190">
        <v>1</v>
      </c>
      <c r="CQ69" s="190">
        <f aca="true" t="shared" si="181" ref="CQ69:DA69">CP69+1</f>
        <v>2</v>
      </c>
      <c r="CR69" s="190">
        <f t="shared" si="181"/>
        <v>3</v>
      </c>
      <c r="CS69" s="190">
        <f t="shared" si="181"/>
        <v>4</v>
      </c>
      <c r="CT69" s="190">
        <f t="shared" si="181"/>
        <v>5</v>
      </c>
      <c r="CU69" s="190">
        <f t="shared" si="181"/>
        <v>6</v>
      </c>
      <c r="CV69" s="190">
        <f t="shared" si="181"/>
        <v>7</v>
      </c>
      <c r="CW69" s="190">
        <f t="shared" si="181"/>
        <v>8</v>
      </c>
      <c r="CX69" s="190">
        <f t="shared" si="181"/>
        <v>9</v>
      </c>
      <c r="CY69" s="190">
        <f t="shared" si="181"/>
        <v>10</v>
      </c>
      <c r="CZ69" s="190">
        <f t="shared" si="181"/>
        <v>11</v>
      </c>
      <c r="DA69" s="190">
        <f t="shared" si="181"/>
        <v>12</v>
      </c>
      <c r="DB69" s="191" t="str">
        <f>DB53</f>
        <v>Итого</v>
      </c>
      <c r="DC69" s="190">
        <v>1</v>
      </c>
      <c r="DD69" s="190">
        <f aca="true" t="shared" si="182" ref="DD69:DN69">DC69+1</f>
        <v>2</v>
      </c>
      <c r="DE69" s="190">
        <f t="shared" si="182"/>
        <v>3</v>
      </c>
      <c r="DF69" s="190">
        <f t="shared" si="182"/>
        <v>4</v>
      </c>
      <c r="DG69" s="190">
        <f t="shared" si="182"/>
        <v>5</v>
      </c>
      <c r="DH69" s="190">
        <f t="shared" si="182"/>
        <v>6</v>
      </c>
      <c r="DI69" s="190">
        <f t="shared" si="182"/>
        <v>7</v>
      </c>
      <c r="DJ69" s="190">
        <f t="shared" si="182"/>
        <v>8</v>
      </c>
      <c r="DK69" s="190">
        <f t="shared" si="182"/>
        <v>9</v>
      </c>
      <c r="DL69" s="190">
        <f t="shared" si="182"/>
        <v>10</v>
      </c>
      <c r="DM69" s="190">
        <f t="shared" si="182"/>
        <v>11</v>
      </c>
      <c r="DN69" s="190">
        <f t="shared" si="182"/>
        <v>12</v>
      </c>
      <c r="DO69" s="191" t="s">
        <v>0</v>
      </c>
    </row>
    <row r="70" spans="1:119" ht="12.75">
      <c r="A70" s="188" t="s">
        <v>106</v>
      </c>
      <c r="B70" s="193">
        <f>O70+AB70+AO70+BB70+BO70+CB70+CO70+DB70+DO70</f>
        <v>9914.1424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>
        <f>'1-Ф3'!M$29</f>
        <v>9914.1424</v>
      </c>
      <c r="M70" s="194"/>
      <c r="N70" s="194"/>
      <c r="O70" s="195">
        <f>SUM(C70:N70)</f>
        <v>9914.1424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>
        <f>SUM(P70:AA70)</f>
        <v>0</v>
      </c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>
        <f>SUM(AC70:AN70)</f>
        <v>0</v>
      </c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</row>
    <row r="71" spans="1:119" s="197" customFormat="1" ht="20.25" customHeight="1">
      <c r="A71" s="188" t="s">
        <v>31</v>
      </c>
      <c r="B71" s="193">
        <f>O71+AB71+AO71+BB71+BO71+CB71+CO71+DB71+DO71</f>
        <v>346.99498400000004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5">
        <f>SUM(C71:N71)</f>
        <v>0</v>
      </c>
      <c r="P71" s="194"/>
      <c r="Q71" s="194"/>
      <c r="R71" s="194"/>
      <c r="S71" s="194">
        <f>SUM(O72:S72)</f>
        <v>346.99498400000004</v>
      </c>
      <c r="T71" s="194"/>
      <c r="U71" s="194"/>
      <c r="V71" s="194"/>
      <c r="W71" s="194"/>
      <c r="X71" s="194"/>
      <c r="Y71" s="194"/>
      <c r="Z71" s="194"/>
      <c r="AA71" s="194"/>
      <c r="AB71" s="195">
        <f>SUM(P71:AA71)</f>
        <v>346.99498400000004</v>
      </c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5">
        <f>SUM(AC71:AN71)</f>
        <v>0</v>
      </c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5">
        <f>SUM(AP71:BA71)</f>
        <v>0</v>
      </c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5">
        <f>SUM(BC71:BN71)</f>
        <v>0</v>
      </c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5">
        <f>SUM(BP71:CA71)</f>
        <v>0</v>
      </c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5">
        <f>SUM(CC71:CN71)</f>
        <v>0</v>
      </c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5">
        <f>SUM(CP71:DA71)</f>
        <v>0</v>
      </c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5">
        <f>SUM(DC71:DN71)</f>
        <v>0</v>
      </c>
    </row>
    <row r="72" spans="1:119" s="197" customFormat="1" ht="12.75">
      <c r="A72" s="198" t="s">
        <v>13</v>
      </c>
      <c r="B72" s="193">
        <f>O72+AB72+AO72+BB72+BO72+CB72+CO72+DB72+DO72</f>
        <v>2963.7677034649914</v>
      </c>
      <c r="C72" s="194"/>
      <c r="D72" s="194">
        <f aca="true" t="shared" si="183" ref="D72:N72">C75*$B68/12</f>
        <v>0</v>
      </c>
      <c r="E72" s="194">
        <f t="shared" si="183"/>
        <v>0</v>
      </c>
      <c r="F72" s="194">
        <f t="shared" si="183"/>
        <v>0</v>
      </c>
      <c r="G72" s="194">
        <f t="shared" si="183"/>
        <v>0</v>
      </c>
      <c r="H72" s="194">
        <f t="shared" si="183"/>
        <v>0</v>
      </c>
      <c r="I72" s="194">
        <f t="shared" si="183"/>
        <v>0</v>
      </c>
      <c r="J72" s="194">
        <f t="shared" si="183"/>
        <v>0</v>
      </c>
      <c r="K72" s="194">
        <f t="shared" si="183"/>
        <v>0</v>
      </c>
      <c r="L72" s="194">
        <f t="shared" si="183"/>
        <v>0</v>
      </c>
      <c r="M72" s="194">
        <f t="shared" si="183"/>
        <v>57.83249733333334</v>
      </c>
      <c r="N72" s="194">
        <f t="shared" si="183"/>
        <v>57.83249733333334</v>
      </c>
      <c r="O72" s="195">
        <f>SUM(C72:N72)</f>
        <v>115.66499466666669</v>
      </c>
      <c r="P72" s="194">
        <f aca="true" t="shared" si="184" ref="P72:AA72">O75*$B68/12</f>
        <v>57.83249733333334</v>
      </c>
      <c r="Q72" s="194">
        <f t="shared" si="184"/>
        <v>57.83249733333334</v>
      </c>
      <c r="R72" s="194">
        <f t="shared" si="184"/>
        <v>57.83249733333334</v>
      </c>
      <c r="S72" s="194">
        <f t="shared" si="184"/>
        <v>57.83249733333334</v>
      </c>
      <c r="T72" s="194">
        <f t="shared" si="184"/>
        <v>59.85663474000001</v>
      </c>
      <c r="U72" s="194">
        <f t="shared" si="184"/>
        <v>59.85663474000001</v>
      </c>
      <c r="V72" s="194">
        <f t="shared" si="184"/>
        <v>59.85663474000001</v>
      </c>
      <c r="W72" s="194">
        <f t="shared" si="184"/>
        <v>59.85663474000001</v>
      </c>
      <c r="X72" s="194">
        <f t="shared" si="184"/>
        <v>59.21814976048652</v>
      </c>
      <c r="Y72" s="194">
        <f t="shared" si="184"/>
        <v>58.5759402852592</v>
      </c>
      <c r="Z72" s="194">
        <f t="shared" si="184"/>
        <v>57.92998458809305</v>
      </c>
      <c r="AA72" s="194">
        <f t="shared" si="184"/>
        <v>57.280260816026775</v>
      </c>
      <c r="AB72" s="195">
        <f>SUM(P72:AA72)</f>
        <v>703.7608637431989</v>
      </c>
      <c r="AC72" s="194">
        <f aca="true" t="shared" si="185" ref="AC72:AN72">AB75*$B68/12</f>
        <v>56.62674698862343</v>
      </c>
      <c r="AD72" s="194">
        <f t="shared" si="185"/>
        <v>55.969420997226905</v>
      </c>
      <c r="AE72" s="194">
        <f t="shared" si="185"/>
        <v>55.308260604213906</v>
      </c>
      <c r="AF72" s="194">
        <f t="shared" si="185"/>
        <v>54.64324344224165</v>
      </c>
      <c r="AG72" s="194">
        <f t="shared" si="185"/>
        <v>53.97434701349124</v>
      </c>
      <c r="AH72" s="194">
        <f t="shared" si="185"/>
        <v>53.30154868890643</v>
      </c>
      <c r="AI72" s="194">
        <f t="shared" si="185"/>
        <v>52.624825707428236</v>
      </c>
      <c r="AJ72" s="194">
        <f t="shared" si="185"/>
        <v>51.94415517522474</v>
      </c>
      <c r="AK72" s="194">
        <f t="shared" si="185"/>
        <v>51.259514064916715</v>
      </c>
      <c r="AL72" s="194">
        <f t="shared" si="185"/>
        <v>50.570879214798566</v>
      </c>
      <c r="AM72" s="194">
        <f t="shared" si="185"/>
        <v>49.87822732805473</v>
      </c>
      <c r="AN72" s="194">
        <f t="shared" si="185"/>
        <v>49.18153497197155</v>
      </c>
      <c r="AO72" s="195">
        <f>SUM(AC72:AN72)</f>
        <v>635.2827041970982</v>
      </c>
      <c r="AP72" s="194">
        <f aca="true" t="shared" si="186" ref="AP72:BA72">AO75*$B68/12</f>
        <v>48.48077857714457</v>
      </c>
      <c r="AQ72" s="194">
        <f t="shared" si="186"/>
        <v>47.77593443668108</v>
      </c>
      <c r="AR72" s="194">
        <f t="shared" si="186"/>
        <v>47.06697870539822</v>
      </c>
      <c r="AS72" s="194">
        <f t="shared" si="186"/>
        <v>46.35388739901621</v>
      </c>
      <c r="AT72" s="194">
        <f t="shared" si="186"/>
        <v>45.636636393346976</v>
      </c>
      <c r="AU72" s="194">
        <f t="shared" si="186"/>
        <v>44.91520142347801</v>
      </c>
      <c r="AV72" s="194">
        <f t="shared" si="186"/>
        <v>44.18955808295147</v>
      </c>
      <c r="AW72" s="194">
        <f t="shared" si="186"/>
        <v>43.45968182293853</v>
      </c>
      <c r="AX72" s="194">
        <f t="shared" si="186"/>
        <v>42.725547951408835</v>
      </c>
      <c r="AY72" s="194">
        <f t="shared" si="186"/>
        <v>41.987131632295224</v>
      </c>
      <c r="AZ72" s="194">
        <f t="shared" si="186"/>
        <v>41.24440788465345</v>
      </c>
      <c r="BA72" s="194">
        <f t="shared" si="186"/>
        <v>40.4973515818171</v>
      </c>
      <c r="BB72" s="195">
        <f>SUM(AP72:BA72)</f>
        <v>534.3330958911297</v>
      </c>
      <c r="BC72" s="194">
        <f aca="true" t="shared" si="187" ref="BC72:BN72">BB75*$B68/12</f>
        <v>39.74593745054754</v>
      </c>
      <c r="BD72" s="194">
        <f t="shared" si="187"/>
        <v>38.9901400701789</v>
      </c>
      <c r="BE72" s="194">
        <f t="shared" si="187"/>
        <v>38.229933871758114</v>
      </c>
      <c r="BF72" s="194">
        <f t="shared" si="187"/>
        <v>37.46529313717988</v>
      </c>
      <c r="BG72" s="194">
        <f t="shared" si="187"/>
        <v>36.6961919983166</v>
      </c>
      <c r="BH72" s="194">
        <f t="shared" si="187"/>
        <v>35.92260443614328</v>
      </c>
      <c r="BI72" s="194">
        <f t="shared" si="187"/>
        <v>35.14450427985729</v>
      </c>
      <c r="BJ72" s="194">
        <f t="shared" si="187"/>
        <v>34.36186520599296</v>
      </c>
      <c r="BK72" s="194">
        <f t="shared" si="187"/>
        <v>33.57466073753109</v>
      </c>
      <c r="BL72" s="194">
        <f t="shared" si="187"/>
        <v>32.782864243003196</v>
      </c>
      <c r="BM72" s="194">
        <f t="shared" si="187"/>
        <v>31.986448935590545</v>
      </c>
      <c r="BN72" s="194">
        <f t="shared" si="187"/>
        <v>31.18538787221799</v>
      </c>
      <c r="BO72" s="195">
        <f>SUM(BC72:BN72)</f>
        <v>426.0858322383173</v>
      </c>
      <c r="BP72" s="194">
        <f aca="true" t="shared" si="188" ref="BP72:CA72">BO75*$B68/12</f>
        <v>30.37965395264244</v>
      </c>
      <c r="BQ72" s="194">
        <f t="shared" si="188"/>
        <v>29.569219918536024</v>
      </c>
      <c r="BR72" s="194">
        <f t="shared" si="188"/>
        <v>28.754058352563987</v>
      </c>
      <c r="BS72" s="194">
        <f t="shared" si="188"/>
        <v>27.934141677457117</v>
      </c>
      <c r="BT72" s="194">
        <f t="shared" si="188"/>
        <v>27.109442155078785</v>
      </c>
      <c r="BU72" s="194">
        <f t="shared" si="188"/>
        <v>26.27993188548658</v>
      </c>
      <c r="BV72" s="194">
        <f t="shared" si="188"/>
        <v>25.445582805988423</v>
      </c>
      <c r="BW72" s="194">
        <f t="shared" si="188"/>
        <v>24.606366690193195</v>
      </c>
      <c r="BX72" s="194">
        <f t="shared" si="188"/>
        <v>23.76225514705583</v>
      </c>
      <c r="BY72" s="194">
        <f t="shared" si="188"/>
        <v>22.913219619916827</v>
      </c>
      <c r="BZ72" s="194">
        <f t="shared" si="188"/>
        <v>22.05923138553618</v>
      </c>
      <c r="CA72" s="194">
        <f t="shared" si="188"/>
        <v>21.200261553121642</v>
      </c>
      <c r="CB72" s="195">
        <f>SUM(BP72:CA72)</f>
        <v>310.01336514357706</v>
      </c>
      <c r="CC72" s="194">
        <f aca="true" t="shared" si="189" ref="CC72:CN72">CB75*$B68/12</f>
        <v>20.336281063351354</v>
      </c>
      <c r="CD72" s="194">
        <f t="shared" si="189"/>
        <v>19.467260687390745</v>
      </c>
      <c r="CE72" s="194">
        <f t="shared" si="189"/>
        <v>18.593171025903693</v>
      </c>
      <c r="CF72" s="194">
        <f t="shared" si="189"/>
        <v>17.713982508057967</v>
      </c>
      <c r="CG72" s="194">
        <f t="shared" si="189"/>
        <v>16.829665390524806</v>
      </c>
      <c r="CH72" s="194">
        <f t="shared" si="189"/>
        <v>15.940189756472705</v>
      </c>
      <c r="CI72" s="194">
        <f t="shared" si="189"/>
        <v>15.045525514555301</v>
      </c>
      <c r="CJ72" s="194">
        <f t="shared" si="189"/>
        <v>14.145642397893377</v>
      </c>
      <c r="CK72" s="194">
        <f t="shared" si="189"/>
        <v>13.240509963050927</v>
      </c>
      <c r="CL72" s="194">
        <f t="shared" si="189"/>
        <v>12.330097589005232</v>
      </c>
      <c r="CM72" s="194">
        <f t="shared" si="189"/>
        <v>11.414374476110934</v>
      </c>
      <c r="CN72" s="194">
        <f t="shared" si="189"/>
        <v>10.493309645058085</v>
      </c>
      <c r="CO72" s="195">
        <f>SUM(CC72:CN72)</f>
        <v>185.5500100173751</v>
      </c>
      <c r="CP72" s="194">
        <f aca="true" t="shared" si="190" ref="CP72:DA72">CO75*$B68/12</f>
        <v>9.566871935824095</v>
      </c>
      <c r="CQ72" s="194">
        <f t="shared" si="190"/>
        <v>8.635030006619573</v>
      </c>
      <c r="CR72" s="194">
        <f t="shared" si="190"/>
        <v>7.697752332828024</v>
      </c>
      <c r="CS72" s="194">
        <f t="shared" si="190"/>
        <v>6.755007205939358</v>
      </c>
      <c r="CT72" s="194">
        <f t="shared" si="190"/>
        <v>5.806762732477175</v>
      </c>
      <c r="CU72" s="194">
        <f t="shared" si="190"/>
        <v>4.852986832919796</v>
      </c>
      <c r="CV72" s="194">
        <f t="shared" si="190"/>
        <v>3.893647240614999</v>
      </c>
      <c r="CW72" s="194">
        <f t="shared" si="190"/>
        <v>2.928711500688424</v>
      </c>
      <c r="CX72" s="194">
        <f t="shared" si="190"/>
        <v>1.9581469689456104</v>
      </c>
      <c r="CY72" s="194">
        <f t="shared" si="190"/>
        <v>0.9819208107676308</v>
      </c>
      <c r="CZ72" s="194">
        <f t="shared" si="190"/>
        <v>2.7936171894301275E-13</v>
      </c>
      <c r="DA72" s="194">
        <f t="shared" si="190"/>
        <v>2.7936171894301275E-13</v>
      </c>
      <c r="DB72" s="195">
        <f>SUM(CP72:DA72)</f>
        <v>53.07683756762524</v>
      </c>
      <c r="DC72" s="194">
        <f aca="true" t="shared" si="191" ref="DC72:DN72">DB75*$B68/12</f>
        <v>2.7936171894301275E-13</v>
      </c>
      <c r="DD72" s="194">
        <f t="shared" si="191"/>
        <v>2.7936171894301275E-13</v>
      </c>
      <c r="DE72" s="194">
        <f t="shared" si="191"/>
        <v>2.7936171894301275E-13</v>
      </c>
      <c r="DF72" s="194">
        <f t="shared" si="191"/>
        <v>2.7936171894301275E-13</v>
      </c>
      <c r="DG72" s="194">
        <f t="shared" si="191"/>
        <v>2.7936171894301275E-13</v>
      </c>
      <c r="DH72" s="194">
        <f t="shared" si="191"/>
        <v>2.7936171894301275E-13</v>
      </c>
      <c r="DI72" s="194">
        <f t="shared" si="191"/>
        <v>2.7936171894301275E-13</v>
      </c>
      <c r="DJ72" s="194">
        <f t="shared" si="191"/>
        <v>2.7936171894301275E-13</v>
      </c>
      <c r="DK72" s="194">
        <f t="shared" si="191"/>
        <v>2.7936171894301275E-13</v>
      </c>
      <c r="DL72" s="194">
        <f t="shared" si="191"/>
        <v>2.7936171894301275E-13</v>
      </c>
      <c r="DM72" s="194">
        <f t="shared" si="191"/>
        <v>2.7936171894301275E-13</v>
      </c>
      <c r="DN72" s="194">
        <f t="shared" si="191"/>
        <v>2.7936171894301275E-13</v>
      </c>
      <c r="DO72" s="195">
        <f>SUM(DC72:DN72)</f>
        <v>3.3523406273161528E-12</v>
      </c>
    </row>
    <row r="73" spans="1:119" ht="12.75">
      <c r="A73" s="188" t="s">
        <v>14</v>
      </c>
      <c r="B73" s="193">
        <f>O73+AB73+AO73+BB73+BO73+CB73+CO73+DB73+DO73</f>
        <v>10261.13738399996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9"/>
      <c r="N73" s="199"/>
      <c r="O73" s="195">
        <f>SUM(C73:N73)</f>
        <v>0</v>
      </c>
      <c r="P73" s="199"/>
      <c r="Q73" s="199"/>
      <c r="R73" s="199"/>
      <c r="S73" s="199"/>
      <c r="T73" s="199"/>
      <c r="U73" s="199"/>
      <c r="V73" s="199"/>
      <c r="W73" s="194">
        <f>$B77-W72</f>
        <v>109.45456791659927</v>
      </c>
      <c r="X73" s="194">
        <f>$B77-X72</f>
        <v>110.09305289611277</v>
      </c>
      <c r="Y73" s="194">
        <f>$B77-Y72</f>
        <v>110.73526237134007</v>
      </c>
      <c r="Z73" s="194">
        <f>$B77-Z72</f>
        <v>111.38121806850623</v>
      </c>
      <c r="AA73" s="194">
        <f>$B77-AA72</f>
        <v>112.0309418405725</v>
      </c>
      <c r="AB73" s="195">
        <f>SUM(P73:AA73)</f>
        <v>553.6950430931308</v>
      </c>
      <c r="AC73" s="194">
        <f aca="true" t="shared" si="192" ref="AC73:AN73">$B77-AC72</f>
        <v>112.68445566797584</v>
      </c>
      <c r="AD73" s="194">
        <f t="shared" si="192"/>
        <v>113.34178165937237</v>
      </c>
      <c r="AE73" s="194">
        <f t="shared" si="192"/>
        <v>114.00294205238538</v>
      </c>
      <c r="AF73" s="194">
        <f t="shared" si="192"/>
        <v>114.66795921435764</v>
      </c>
      <c r="AG73" s="194">
        <f t="shared" si="192"/>
        <v>115.33685564310804</v>
      </c>
      <c r="AH73" s="194">
        <f t="shared" si="192"/>
        <v>116.00965396769286</v>
      </c>
      <c r="AI73" s="194">
        <f t="shared" si="192"/>
        <v>116.68637694917103</v>
      </c>
      <c r="AJ73" s="194">
        <f t="shared" si="192"/>
        <v>117.36704748137453</v>
      </c>
      <c r="AK73" s="194">
        <f t="shared" si="192"/>
        <v>118.05168859168256</v>
      </c>
      <c r="AL73" s="194">
        <f t="shared" si="192"/>
        <v>118.74032344180071</v>
      </c>
      <c r="AM73" s="194">
        <f t="shared" si="192"/>
        <v>119.43297532854456</v>
      </c>
      <c r="AN73" s="194">
        <f t="shared" si="192"/>
        <v>120.12966768462772</v>
      </c>
      <c r="AO73" s="195">
        <f>SUM(AC73:AN73)</f>
        <v>1396.4517276820934</v>
      </c>
      <c r="AP73" s="194">
        <f aca="true" t="shared" si="193" ref="AP73:BA73">$B77-AP72</f>
        <v>120.8304240794547</v>
      </c>
      <c r="AQ73" s="194">
        <f t="shared" si="193"/>
        <v>121.53526821991821</v>
      </c>
      <c r="AR73" s="194">
        <f t="shared" si="193"/>
        <v>122.24422395120106</v>
      </c>
      <c r="AS73" s="194">
        <f t="shared" si="193"/>
        <v>122.95731525758308</v>
      </c>
      <c r="AT73" s="194">
        <f t="shared" si="193"/>
        <v>123.6745662632523</v>
      </c>
      <c r="AU73" s="194">
        <f t="shared" si="193"/>
        <v>124.39600123312127</v>
      </c>
      <c r="AV73" s="194">
        <f t="shared" si="193"/>
        <v>125.12164457364781</v>
      </c>
      <c r="AW73" s="194">
        <f t="shared" si="193"/>
        <v>125.85152083366074</v>
      </c>
      <c r="AX73" s="194">
        <f t="shared" si="193"/>
        <v>126.58565470519045</v>
      </c>
      <c r="AY73" s="194">
        <f t="shared" si="193"/>
        <v>127.32407102430406</v>
      </c>
      <c r="AZ73" s="194">
        <f t="shared" si="193"/>
        <v>128.06679477194584</v>
      </c>
      <c r="BA73" s="194">
        <f t="shared" si="193"/>
        <v>128.81385107478218</v>
      </c>
      <c r="BB73" s="195">
        <f>SUM(AP73:BA73)</f>
        <v>1497.4013359880616</v>
      </c>
      <c r="BC73" s="194">
        <f aca="true" t="shared" si="194" ref="BC73:BN73">$B77-BC72</f>
        <v>129.56526520605175</v>
      </c>
      <c r="BD73" s="194">
        <f t="shared" si="194"/>
        <v>130.32106258642037</v>
      </c>
      <c r="BE73" s="194">
        <f t="shared" si="194"/>
        <v>131.08126878484117</v>
      </c>
      <c r="BF73" s="194">
        <f t="shared" si="194"/>
        <v>131.8459095194194</v>
      </c>
      <c r="BG73" s="194">
        <f t="shared" si="194"/>
        <v>132.61501065828267</v>
      </c>
      <c r="BH73" s="194">
        <f t="shared" si="194"/>
        <v>133.388598220456</v>
      </c>
      <c r="BI73" s="194">
        <f t="shared" si="194"/>
        <v>134.16669837674198</v>
      </c>
      <c r="BJ73" s="194">
        <f t="shared" si="194"/>
        <v>134.94933745060632</v>
      </c>
      <c r="BK73" s="194">
        <f t="shared" si="194"/>
        <v>135.7365419190682</v>
      </c>
      <c r="BL73" s="194">
        <f t="shared" si="194"/>
        <v>136.5283384135961</v>
      </c>
      <c r="BM73" s="194">
        <f t="shared" si="194"/>
        <v>137.32475372100873</v>
      </c>
      <c r="BN73" s="194">
        <f t="shared" si="194"/>
        <v>138.12581478438128</v>
      </c>
      <c r="BO73" s="195">
        <f>SUM(BC73:BN73)</f>
        <v>1605.648599640874</v>
      </c>
      <c r="BP73" s="194">
        <f aca="true" t="shared" si="195" ref="BP73:CA73">$B77-BP72</f>
        <v>138.93154870395685</v>
      </c>
      <c r="BQ73" s="194">
        <f t="shared" si="195"/>
        <v>139.74198273806326</v>
      </c>
      <c r="BR73" s="194">
        <f t="shared" si="195"/>
        <v>140.5571443040353</v>
      </c>
      <c r="BS73" s="194">
        <f t="shared" si="195"/>
        <v>141.37706097914216</v>
      </c>
      <c r="BT73" s="194">
        <f t="shared" si="195"/>
        <v>142.20176050152048</v>
      </c>
      <c r="BU73" s="194">
        <f t="shared" si="195"/>
        <v>143.0312707711127</v>
      </c>
      <c r="BV73" s="194">
        <f t="shared" si="195"/>
        <v>143.86561985061087</v>
      </c>
      <c r="BW73" s="194">
        <f t="shared" si="195"/>
        <v>144.70483596640608</v>
      </c>
      <c r="BX73" s="194">
        <f t="shared" si="195"/>
        <v>145.54894750954344</v>
      </c>
      <c r="BY73" s="194">
        <f t="shared" si="195"/>
        <v>146.39798303668246</v>
      </c>
      <c r="BZ73" s="194">
        <f t="shared" si="195"/>
        <v>147.2519712710631</v>
      </c>
      <c r="CA73" s="194">
        <f t="shared" si="195"/>
        <v>148.11094110347764</v>
      </c>
      <c r="CB73" s="195">
        <f>SUM(BP73:CA73)</f>
        <v>1721.7210667356144</v>
      </c>
      <c r="CC73" s="194">
        <f aca="true" t="shared" si="196" ref="CC73:CN73">$B77-CC72</f>
        <v>148.97492159324793</v>
      </c>
      <c r="CD73" s="194">
        <f t="shared" si="196"/>
        <v>149.84394196920854</v>
      </c>
      <c r="CE73" s="194">
        <f t="shared" si="196"/>
        <v>150.71803163069558</v>
      </c>
      <c r="CF73" s="194">
        <f t="shared" si="196"/>
        <v>151.5972201485413</v>
      </c>
      <c r="CG73" s="194">
        <f t="shared" si="196"/>
        <v>152.48153726607447</v>
      </c>
      <c r="CH73" s="194">
        <f t="shared" si="196"/>
        <v>153.37101290012657</v>
      </c>
      <c r="CI73" s="194">
        <f t="shared" si="196"/>
        <v>154.26567714204398</v>
      </c>
      <c r="CJ73" s="194">
        <f t="shared" si="196"/>
        <v>155.1655602587059</v>
      </c>
      <c r="CK73" s="194">
        <f t="shared" si="196"/>
        <v>156.07069269354835</v>
      </c>
      <c r="CL73" s="194">
        <f t="shared" si="196"/>
        <v>156.98110506759406</v>
      </c>
      <c r="CM73" s="194">
        <f t="shared" si="196"/>
        <v>157.89682818048834</v>
      </c>
      <c r="CN73" s="194">
        <f t="shared" si="196"/>
        <v>158.8178930115412</v>
      </c>
      <c r="CO73" s="195">
        <f>SUM(CC73:CN73)</f>
        <v>1846.1844218618164</v>
      </c>
      <c r="CP73" s="194">
        <f aca="true" t="shared" si="197" ref="CP73:CY73">$B77-CP72</f>
        <v>159.7443307207752</v>
      </c>
      <c r="CQ73" s="194">
        <f t="shared" si="197"/>
        <v>160.67617264997972</v>
      </c>
      <c r="CR73" s="194">
        <f t="shared" si="197"/>
        <v>161.61345032377125</v>
      </c>
      <c r="CS73" s="194">
        <f t="shared" si="197"/>
        <v>162.5561954506599</v>
      </c>
      <c r="CT73" s="194">
        <f t="shared" si="197"/>
        <v>163.5044399241221</v>
      </c>
      <c r="CU73" s="194">
        <f t="shared" si="197"/>
        <v>164.4582158236795</v>
      </c>
      <c r="CV73" s="194">
        <f t="shared" si="197"/>
        <v>165.41755541598428</v>
      </c>
      <c r="CW73" s="194">
        <f t="shared" si="197"/>
        <v>166.38249115591086</v>
      </c>
      <c r="CX73" s="194">
        <f t="shared" si="197"/>
        <v>167.35305568765367</v>
      </c>
      <c r="CY73" s="194">
        <f t="shared" si="197"/>
        <v>168.32928184583164</v>
      </c>
      <c r="CZ73" s="194"/>
      <c r="DA73" s="194"/>
      <c r="DB73" s="195">
        <f>SUM(CP73:DA73)</f>
        <v>1640.035188998368</v>
      </c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5">
        <f>SUM(DC73:DN73)</f>
        <v>0</v>
      </c>
    </row>
    <row r="74" spans="1:119" ht="12.75">
      <c r="A74" s="188" t="s">
        <v>15</v>
      </c>
      <c r="B74" s="193">
        <f>O74+AB74+AO74+BB74+BO74+CB74+CO74+DB74+DO74</f>
        <v>2616.772719464991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9"/>
      <c r="N74" s="199"/>
      <c r="O74" s="195">
        <f>SUM(C74:N74)</f>
        <v>0</v>
      </c>
      <c r="P74" s="199"/>
      <c r="Q74" s="199"/>
      <c r="R74" s="199"/>
      <c r="S74" s="199"/>
      <c r="T74" s="194">
        <f aca="true" t="shared" si="198" ref="T74:AA74">T72</f>
        <v>59.85663474000001</v>
      </c>
      <c r="U74" s="194">
        <f t="shared" si="198"/>
        <v>59.85663474000001</v>
      </c>
      <c r="V74" s="194">
        <f t="shared" si="198"/>
        <v>59.85663474000001</v>
      </c>
      <c r="W74" s="194">
        <f t="shared" si="198"/>
        <v>59.85663474000001</v>
      </c>
      <c r="X74" s="194">
        <f t="shared" si="198"/>
        <v>59.21814976048652</v>
      </c>
      <c r="Y74" s="194">
        <f t="shared" si="198"/>
        <v>58.5759402852592</v>
      </c>
      <c r="Z74" s="194">
        <f t="shared" si="198"/>
        <v>57.92998458809305</v>
      </c>
      <c r="AA74" s="194">
        <f t="shared" si="198"/>
        <v>57.280260816026775</v>
      </c>
      <c r="AB74" s="195">
        <f>SUM(P74:AA74)</f>
        <v>472.43087440986557</v>
      </c>
      <c r="AC74" s="194">
        <f aca="true" t="shared" si="199" ref="AC74:AK74">AC72</f>
        <v>56.62674698862343</v>
      </c>
      <c r="AD74" s="194">
        <f t="shared" si="199"/>
        <v>55.969420997226905</v>
      </c>
      <c r="AE74" s="194">
        <f t="shared" si="199"/>
        <v>55.308260604213906</v>
      </c>
      <c r="AF74" s="194">
        <f t="shared" si="199"/>
        <v>54.64324344224165</v>
      </c>
      <c r="AG74" s="194">
        <f t="shared" si="199"/>
        <v>53.97434701349124</v>
      </c>
      <c r="AH74" s="194">
        <f t="shared" si="199"/>
        <v>53.30154868890643</v>
      </c>
      <c r="AI74" s="194">
        <f t="shared" si="199"/>
        <v>52.624825707428236</v>
      </c>
      <c r="AJ74" s="194">
        <f t="shared" si="199"/>
        <v>51.94415517522474</v>
      </c>
      <c r="AK74" s="194">
        <f t="shared" si="199"/>
        <v>51.259514064916715</v>
      </c>
      <c r="AL74" s="194">
        <f>AL72</f>
        <v>50.570879214798566</v>
      </c>
      <c r="AM74" s="194">
        <f>AM72</f>
        <v>49.87822732805473</v>
      </c>
      <c r="AN74" s="194">
        <f>AN72</f>
        <v>49.18153497197155</v>
      </c>
      <c r="AO74" s="195">
        <f>SUM(AC74:AN74)</f>
        <v>635.2827041970982</v>
      </c>
      <c r="AP74" s="194">
        <f aca="true" t="shared" si="200" ref="AP74:BA74">AP72</f>
        <v>48.48077857714457</v>
      </c>
      <c r="AQ74" s="194">
        <f t="shared" si="200"/>
        <v>47.77593443668108</v>
      </c>
      <c r="AR74" s="194">
        <f t="shared" si="200"/>
        <v>47.06697870539822</v>
      </c>
      <c r="AS74" s="194">
        <f t="shared" si="200"/>
        <v>46.35388739901621</v>
      </c>
      <c r="AT74" s="194">
        <f t="shared" si="200"/>
        <v>45.636636393346976</v>
      </c>
      <c r="AU74" s="194">
        <f t="shared" si="200"/>
        <v>44.91520142347801</v>
      </c>
      <c r="AV74" s="194">
        <f t="shared" si="200"/>
        <v>44.18955808295147</v>
      </c>
      <c r="AW74" s="194">
        <f t="shared" si="200"/>
        <v>43.45968182293853</v>
      </c>
      <c r="AX74" s="194">
        <f t="shared" si="200"/>
        <v>42.725547951408835</v>
      </c>
      <c r="AY74" s="194">
        <f t="shared" si="200"/>
        <v>41.987131632295224</v>
      </c>
      <c r="AZ74" s="194">
        <f t="shared" si="200"/>
        <v>41.24440788465345</v>
      </c>
      <c r="BA74" s="194">
        <f t="shared" si="200"/>
        <v>40.4973515818171</v>
      </c>
      <c r="BB74" s="195">
        <f>SUM(AP74:BA74)</f>
        <v>534.3330958911297</v>
      </c>
      <c r="BC74" s="194">
        <f aca="true" t="shared" si="201" ref="BC74:BN74">BC72</f>
        <v>39.74593745054754</v>
      </c>
      <c r="BD74" s="194">
        <f t="shared" si="201"/>
        <v>38.9901400701789</v>
      </c>
      <c r="BE74" s="194">
        <f t="shared" si="201"/>
        <v>38.229933871758114</v>
      </c>
      <c r="BF74" s="194">
        <f t="shared" si="201"/>
        <v>37.46529313717988</v>
      </c>
      <c r="BG74" s="194">
        <f t="shared" si="201"/>
        <v>36.6961919983166</v>
      </c>
      <c r="BH74" s="194">
        <f t="shared" si="201"/>
        <v>35.92260443614328</v>
      </c>
      <c r="BI74" s="194">
        <f t="shared" si="201"/>
        <v>35.14450427985729</v>
      </c>
      <c r="BJ74" s="194">
        <f t="shared" si="201"/>
        <v>34.36186520599296</v>
      </c>
      <c r="BK74" s="194">
        <f t="shared" si="201"/>
        <v>33.57466073753109</v>
      </c>
      <c r="BL74" s="194">
        <f t="shared" si="201"/>
        <v>32.782864243003196</v>
      </c>
      <c r="BM74" s="194">
        <f t="shared" si="201"/>
        <v>31.986448935590545</v>
      </c>
      <c r="BN74" s="194">
        <f t="shared" si="201"/>
        <v>31.18538787221799</v>
      </c>
      <c r="BO74" s="195">
        <f>SUM(BC74:BN74)</f>
        <v>426.0858322383173</v>
      </c>
      <c r="BP74" s="194">
        <f aca="true" t="shared" si="202" ref="BP74:CA74">BP72</f>
        <v>30.37965395264244</v>
      </c>
      <c r="BQ74" s="194">
        <f t="shared" si="202"/>
        <v>29.569219918536024</v>
      </c>
      <c r="BR74" s="194">
        <f t="shared" si="202"/>
        <v>28.754058352563987</v>
      </c>
      <c r="BS74" s="194">
        <f t="shared" si="202"/>
        <v>27.934141677457117</v>
      </c>
      <c r="BT74" s="194">
        <f t="shared" si="202"/>
        <v>27.109442155078785</v>
      </c>
      <c r="BU74" s="194">
        <f t="shared" si="202"/>
        <v>26.27993188548658</v>
      </c>
      <c r="BV74" s="194">
        <f t="shared" si="202"/>
        <v>25.445582805988423</v>
      </c>
      <c r="BW74" s="194">
        <f t="shared" si="202"/>
        <v>24.606366690193195</v>
      </c>
      <c r="BX74" s="194">
        <f t="shared" si="202"/>
        <v>23.76225514705583</v>
      </c>
      <c r="BY74" s="194">
        <f t="shared" si="202"/>
        <v>22.913219619916827</v>
      </c>
      <c r="BZ74" s="194">
        <f t="shared" si="202"/>
        <v>22.05923138553618</v>
      </c>
      <c r="CA74" s="194">
        <f t="shared" si="202"/>
        <v>21.200261553121642</v>
      </c>
      <c r="CB74" s="195">
        <f>SUM(BP74:CA74)</f>
        <v>310.01336514357706</v>
      </c>
      <c r="CC74" s="194">
        <f aca="true" t="shared" si="203" ref="CC74:CN74">CC72</f>
        <v>20.336281063351354</v>
      </c>
      <c r="CD74" s="194">
        <f t="shared" si="203"/>
        <v>19.467260687390745</v>
      </c>
      <c r="CE74" s="194">
        <f t="shared" si="203"/>
        <v>18.593171025903693</v>
      </c>
      <c r="CF74" s="194">
        <f t="shared" si="203"/>
        <v>17.713982508057967</v>
      </c>
      <c r="CG74" s="194">
        <f t="shared" si="203"/>
        <v>16.829665390524806</v>
      </c>
      <c r="CH74" s="194">
        <f t="shared" si="203"/>
        <v>15.940189756472705</v>
      </c>
      <c r="CI74" s="194">
        <f t="shared" si="203"/>
        <v>15.045525514555301</v>
      </c>
      <c r="CJ74" s="194">
        <f t="shared" si="203"/>
        <v>14.145642397893377</v>
      </c>
      <c r="CK74" s="194">
        <f t="shared" si="203"/>
        <v>13.240509963050927</v>
      </c>
      <c r="CL74" s="194">
        <f t="shared" si="203"/>
        <v>12.330097589005232</v>
      </c>
      <c r="CM74" s="194">
        <f t="shared" si="203"/>
        <v>11.414374476110934</v>
      </c>
      <c r="CN74" s="194">
        <f t="shared" si="203"/>
        <v>10.493309645058085</v>
      </c>
      <c r="CO74" s="195">
        <f>SUM(CC74:CN74)</f>
        <v>185.5500100173751</v>
      </c>
      <c r="CP74" s="194">
        <f aca="true" t="shared" si="204" ref="CP74:DA74">CP72</f>
        <v>9.566871935824095</v>
      </c>
      <c r="CQ74" s="194">
        <f t="shared" si="204"/>
        <v>8.635030006619573</v>
      </c>
      <c r="CR74" s="194">
        <f t="shared" si="204"/>
        <v>7.697752332828024</v>
      </c>
      <c r="CS74" s="194">
        <f t="shared" si="204"/>
        <v>6.755007205939358</v>
      </c>
      <c r="CT74" s="194">
        <f t="shared" si="204"/>
        <v>5.806762732477175</v>
      </c>
      <c r="CU74" s="194">
        <f t="shared" si="204"/>
        <v>4.852986832919796</v>
      </c>
      <c r="CV74" s="194">
        <f t="shared" si="204"/>
        <v>3.893647240614999</v>
      </c>
      <c r="CW74" s="194">
        <f t="shared" si="204"/>
        <v>2.928711500688424</v>
      </c>
      <c r="CX74" s="194">
        <f t="shared" si="204"/>
        <v>1.9581469689456104</v>
      </c>
      <c r="CY74" s="194">
        <f t="shared" si="204"/>
        <v>0.9819208107676308</v>
      </c>
      <c r="CZ74" s="194">
        <f t="shared" si="204"/>
        <v>2.7936171894301275E-13</v>
      </c>
      <c r="DA74" s="194">
        <f t="shared" si="204"/>
        <v>2.7936171894301275E-13</v>
      </c>
      <c r="DB74" s="195">
        <f>SUM(CP74:DA74)</f>
        <v>53.07683756762524</v>
      </c>
      <c r="DC74" s="194">
        <f aca="true" t="shared" si="205" ref="DC74:DN74">DC72</f>
        <v>2.7936171894301275E-13</v>
      </c>
      <c r="DD74" s="194">
        <f t="shared" si="205"/>
        <v>2.7936171894301275E-13</v>
      </c>
      <c r="DE74" s="194">
        <f t="shared" si="205"/>
        <v>2.7936171894301275E-13</v>
      </c>
      <c r="DF74" s="194">
        <f t="shared" si="205"/>
        <v>2.7936171894301275E-13</v>
      </c>
      <c r="DG74" s="194">
        <f t="shared" si="205"/>
        <v>2.7936171894301275E-13</v>
      </c>
      <c r="DH74" s="194">
        <f t="shared" si="205"/>
        <v>2.7936171894301275E-13</v>
      </c>
      <c r="DI74" s="194">
        <f t="shared" si="205"/>
        <v>2.7936171894301275E-13</v>
      </c>
      <c r="DJ74" s="194">
        <f t="shared" si="205"/>
        <v>2.7936171894301275E-13</v>
      </c>
      <c r="DK74" s="194">
        <f t="shared" si="205"/>
        <v>2.7936171894301275E-13</v>
      </c>
      <c r="DL74" s="194">
        <f t="shared" si="205"/>
        <v>2.7936171894301275E-13</v>
      </c>
      <c r="DM74" s="194">
        <f t="shared" si="205"/>
        <v>2.7936171894301275E-13</v>
      </c>
      <c r="DN74" s="194">
        <f t="shared" si="205"/>
        <v>2.7936171894301275E-13</v>
      </c>
      <c r="DO74" s="195">
        <f>SUM(DC74:DN74)</f>
        <v>3.3523406273161528E-12</v>
      </c>
    </row>
    <row r="75" spans="1:119" ht="12.75">
      <c r="A75" s="188" t="s">
        <v>16</v>
      </c>
      <c r="B75" s="193">
        <f>DO75</f>
        <v>4.789058039023075E-11</v>
      </c>
      <c r="C75" s="194">
        <f>C70</f>
        <v>0</v>
      </c>
      <c r="D75" s="194">
        <f aca="true" t="shared" si="206" ref="D75:N75">C75+D70-D73+D71</f>
        <v>0</v>
      </c>
      <c r="E75" s="194">
        <f t="shared" si="206"/>
        <v>0</v>
      </c>
      <c r="F75" s="194">
        <f t="shared" si="206"/>
        <v>0</v>
      </c>
      <c r="G75" s="194">
        <f t="shared" si="206"/>
        <v>0</v>
      </c>
      <c r="H75" s="194">
        <f t="shared" si="206"/>
        <v>0</v>
      </c>
      <c r="I75" s="194">
        <f t="shared" si="206"/>
        <v>0</v>
      </c>
      <c r="J75" s="194">
        <f t="shared" si="206"/>
        <v>0</v>
      </c>
      <c r="K75" s="194">
        <f t="shared" si="206"/>
        <v>0</v>
      </c>
      <c r="L75" s="194">
        <f t="shared" si="206"/>
        <v>9914.1424</v>
      </c>
      <c r="M75" s="194">
        <f t="shared" si="206"/>
        <v>9914.1424</v>
      </c>
      <c r="N75" s="194">
        <f t="shared" si="206"/>
        <v>9914.1424</v>
      </c>
      <c r="O75" s="195">
        <f>N75</f>
        <v>9914.1424</v>
      </c>
      <c r="P75" s="194">
        <f aca="true" t="shared" si="207" ref="P75:AA75">O75+P70-P73+P71</f>
        <v>9914.1424</v>
      </c>
      <c r="Q75" s="194">
        <f t="shared" si="207"/>
        <v>9914.1424</v>
      </c>
      <c r="R75" s="194">
        <f t="shared" si="207"/>
        <v>9914.1424</v>
      </c>
      <c r="S75" s="194">
        <f t="shared" si="207"/>
        <v>10261.137384000001</v>
      </c>
      <c r="T75" s="194">
        <f t="shared" si="207"/>
        <v>10261.137384000001</v>
      </c>
      <c r="U75" s="194">
        <f t="shared" si="207"/>
        <v>10261.137384000001</v>
      </c>
      <c r="V75" s="194">
        <f t="shared" si="207"/>
        <v>10261.137384000001</v>
      </c>
      <c r="W75" s="194">
        <f t="shared" si="207"/>
        <v>10151.682816083403</v>
      </c>
      <c r="X75" s="194">
        <f t="shared" si="207"/>
        <v>10041.58976318729</v>
      </c>
      <c r="Y75" s="194">
        <f t="shared" si="207"/>
        <v>9930.85450081595</v>
      </c>
      <c r="Z75" s="194">
        <f t="shared" si="207"/>
        <v>9819.473282747445</v>
      </c>
      <c r="AA75" s="194">
        <f t="shared" si="207"/>
        <v>9707.442340906873</v>
      </c>
      <c r="AB75" s="195">
        <f>AA75</f>
        <v>9707.442340906873</v>
      </c>
      <c r="AC75" s="194">
        <f aca="true" t="shared" si="208" ref="AC75:AN75">AB75+AC70-AC73+AC71</f>
        <v>9594.757885238898</v>
      </c>
      <c r="AD75" s="194">
        <f t="shared" si="208"/>
        <v>9481.416103579526</v>
      </c>
      <c r="AE75" s="194">
        <f t="shared" si="208"/>
        <v>9367.41316152714</v>
      </c>
      <c r="AF75" s="194">
        <f t="shared" si="208"/>
        <v>9252.745202312783</v>
      </c>
      <c r="AG75" s="194">
        <f t="shared" si="208"/>
        <v>9137.408346669674</v>
      </c>
      <c r="AH75" s="194">
        <f t="shared" si="208"/>
        <v>9021.398692701981</v>
      </c>
      <c r="AI75" s="194">
        <f t="shared" si="208"/>
        <v>8904.712315752811</v>
      </c>
      <c r="AJ75" s="194">
        <f t="shared" si="208"/>
        <v>8787.345268271436</v>
      </c>
      <c r="AK75" s="194">
        <f t="shared" si="208"/>
        <v>8669.293579679754</v>
      </c>
      <c r="AL75" s="194">
        <f t="shared" si="208"/>
        <v>8550.553256237952</v>
      </c>
      <c r="AM75" s="194">
        <f t="shared" si="208"/>
        <v>8431.120280909408</v>
      </c>
      <c r="AN75" s="194">
        <f t="shared" si="208"/>
        <v>8310.990613224782</v>
      </c>
      <c r="AO75" s="195">
        <f>AN75</f>
        <v>8310.990613224782</v>
      </c>
      <c r="AP75" s="194">
        <f aca="true" t="shared" si="209" ref="AP75:BA75">AO75+AP70-AP73+AP71</f>
        <v>8190.1601891453265</v>
      </c>
      <c r="AQ75" s="194">
        <f t="shared" si="209"/>
        <v>8068.624920925408</v>
      </c>
      <c r="AR75" s="194">
        <f t="shared" si="209"/>
        <v>7946.380696974207</v>
      </c>
      <c r="AS75" s="194">
        <f t="shared" si="209"/>
        <v>7823.423381716624</v>
      </c>
      <c r="AT75" s="194">
        <f t="shared" si="209"/>
        <v>7699.748815453372</v>
      </c>
      <c r="AU75" s="194">
        <f t="shared" si="209"/>
        <v>7575.352814220251</v>
      </c>
      <c r="AV75" s="194">
        <f t="shared" si="209"/>
        <v>7450.231169646603</v>
      </c>
      <c r="AW75" s="194">
        <f t="shared" si="209"/>
        <v>7324.379648812943</v>
      </c>
      <c r="AX75" s="194">
        <f t="shared" si="209"/>
        <v>7197.793994107752</v>
      </c>
      <c r="AY75" s="194">
        <f t="shared" si="209"/>
        <v>7070.469923083448</v>
      </c>
      <c r="AZ75" s="194">
        <f t="shared" si="209"/>
        <v>6942.403128311502</v>
      </c>
      <c r="BA75" s="194">
        <f t="shared" si="209"/>
        <v>6813.58927723672</v>
      </c>
      <c r="BB75" s="195">
        <f>BA75</f>
        <v>6813.58927723672</v>
      </c>
      <c r="BC75" s="194">
        <f aca="true" t="shared" si="210" ref="BC75:BN75">BB75+BC70-BC73+BC71</f>
        <v>6684.024012030668</v>
      </c>
      <c r="BD75" s="194">
        <f t="shared" si="210"/>
        <v>6553.702949444248</v>
      </c>
      <c r="BE75" s="194">
        <f t="shared" si="210"/>
        <v>6422.621680659407</v>
      </c>
      <c r="BF75" s="194">
        <f t="shared" si="210"/>
        <v>6290.775771139987</v>
      </c>
      <c r="BG75" s="194">
        <f t="shared" si="210"/>
        <v>6158.1607604817045</v>
      </c>
      <c r="BH75" s="194">
        <f t="shared" si="210"/>
        <v>6024.772162261249</v>
      </c>
      <c r="BI75" s="194">
        <f t="shared" si="210"/>
        <v>5890.605463884507</v>
      </c>
      <c r="BJ75" s="194">
        <f t="shared" si="210"/>
        <v>5755.656126433901</v>
      </c>
      <c r="BK75" s="194">
        <f t="shared" si="210"/>
        <v>5619.919584514832</v>
      </c>
      <c r="BL75" s="194">
        <f t="shared" si="210"/>
        <v>5483.391246101236</v>
      </c>
      <c r="BM75" s="194">
        <f t="shared" si="210"/>
        <v>5346.066492380227</v>
      </c>
      <c r="BN75" s="194">
        <f t="shared" si="210"/>
        <v>5207.940677595846</v>
      </c>
      <c r="BO75" s="195">
        <f>BN75</f>
        <v>5207.940677595846</v>
      </c>
      <c r="BP75" s="194">
        <f aca="true" t="shared" si="211" ref="BP75:CA75">BO75+BP70-BP73+BP71</f>
        <v>5069.009128891889</v>
      </c>
      <c r="BQ75" s="194">
        <f t="shared" si="211"/>
        <v>4929.267146153826</v>
      </c>
      <c r="BR75" s="194">
        <f t="shared" si="211"/>
        <v>4788.71000184979</v>
      </c>
      <c r="BS75" s="194">
        <f t="shared" si="211"/>
        <v>4647.332940870649</v>
      </c>
      <c r="BT75" s="194">
        <f t="shared" si="211"/>
        <v>4505.131180369128</v>
      </c>
      <c r="BU75" s="194">
        <f t="shared" si="211"/>
        <v>4362.099909598015</v>
      </c>
      <c r="BV75" s="194">
        <f t="shared" si="211"/>
        <v>4218.234289747405</v>
      </c>
      <c r="BW75" s="194">
        <f t="shared" si="211"/>
        <v>4073.5294537809987</v>
      </c>
      <c r="BX75" s="194">
        <f t="shared" si="211"/>
        <v>3927.9805062714554</v>
      </c>
      <c r="BY75" s="194">
        <f t="shared" si="211"/>
        <v>3781.582523234773</v>
      </c>
      <c r="BZ75" s="194">
        <f t="shared" si="211"/>
        <v>3634.3305519637097</v>
      </c>
      <c r="CA75" s="194">
        <f t="shared" si="211"/>
        <v>3486.219610860232</v>
      </c>
      <c r="CB75" s="195">
        <f>CA75</f>
        <v>3486.219610860232</v>
      </c>
      <c r="CC75" s="194">
        <f aca="true" t="shared" si="212" ref="CC75:CN75">CB75+CC70-CC73+CC71</f>
        <v>3337.244689266984</v>
      </c>
      <c r="CD75" s="194">
        <f t="shared" si="212"/>
        <v>3187.4007472977755</v>
      </c>
      <c r="CE75" s="194">
        <f t="shared" si="212"/>
        <v>3036.6827156670797</v>
      </c>
      <c r="CF75" s="194">
        <f t="shared" si="212"/>
        <v>2885.085495518538</v>
      </c>
      <c r="CG75" s="194">
        <f t="shared" si="212"/>
        <v>2732.6039582524636</v>
      </c>
      <c r="CH75" s="194">
        <f t="shared" si="212"/>
        <v>2579.232945352337</v>
      </c>
      <c r="CI75" s="194">
        <f t="shared" si="212"/>
        <v>2424.9672682102932</v>
      </c>
      <c r="CJ75" s="194">
        <f t="shared" si="212"/>
        <v>2269.8017079515876</v>
      </c>
      <c r="CK75" s="194">
        <f t="shared" si="212"/>
        <v>2113.7310152580394</v>
      </c>
      <c r="CL75" s="194">
        <f t="shared" si="212"/>
        <v>1956.7499101904455</v>
      </c>
      <c r="CM75" s="194">
        <f t="shared" si="212"/>
        <v>1798.8530820099572</v>
      </c>
      <c r="CN75" s="194">
        <f t="shared" si="212"/>
        <v>1640.035188998416</v>
      </c>
      <c r="CO75" s="195">
        <f>CN75</f>
        <v>1640.035188998416</v>
      </c>
      <c r="CP75" s="194">
        <f aca="true" t="shared" si="213" ref="CP75:DA75">CO75+CP70-CP73+CP71</f>
        <v>1480.2908582776408</v>
      </c>
      <c r="CQ75" s="194">
        <f t="shared" si="213"/>
        <v>1319.6146856276612</v>
      </c>
      <c r="CR75" s="194">
        <f t="shared" si="213"/>
        <v>1158.0012353038899</v>
      </c>
      <c r="CS75" s="194">
        <f t="shared" si="213"/>
        <v>995.4450398532299</v>
      </c>
      <c r="CT75" s="194">
        <f t="shared" si="213"/>
        <v>831.9405999291077</v>
      </c>
      <c r="CU75" s="194">
        <f t="shared" si="213"/>
        <v>667.4823841054283</v>
      </c>
      <c r="CV75" s="194">
        <f t="shared" si="213"/>
        <v>502.064828689444</v>
      </c>
      <c r="CW75" s="194">
        <f t="shared" si="213"/>
        <v>335.6823375335332</v>
      </c>
      <c r="CX75" s="194">
        <f t="shared" si="213"/>
        <v>168.32928184587954</v>
      </c>
      <c r="CY75" s="194">
        <f t="shared" si="213"/>
        <v>4.789058039023075E-11</v>
      </c>
      <c r="CZ75" s="194">
        <f t="shared" si="213"/>
        <v>4.789058039023075E-11</v>
      </c>
      <c r="DA75" s="194">
        <f t="shared" si="213"/>
        <v>4.789058039023075E-11</v>
      </c>
      <c r="DB75" s="195">
        <f>DA75</f>
        <v>4.789058039023075E-11</v>
      </c>
      <c r="DC75" s="194">
        <f aca="true" t="shared" si="214" ref="DC75:DN75">DB75+DC70-DC73+DC71</f>
        <v>4.789058039023075E-11</v>
      </c>
      <c r="DD75" s="194">
        <f t="shared" si="214"/>
        <v>4.789058039023075E-11</v>
      </c>
      <c r="DE75" s="194">
        <f t="shared" si="214"/>
        <v>4.789058039023075E-11</v>
      </c>
      <c r="DF75" s="194">
        <f t="shared" si="214"/>
        <v>4.789058039023075E-11</v>
      </c>
      <c r="DG75" s="194">
        <f t="shared" si="214"/>
        <v>4.789058039023075E-11</v>
      </c>
      <c r="DH75" s="194">
        <f t="shared" si="214"/>
        <v>4.789058039023075E-11</v>
      </c>
      <c r="DI75" s="194">
        <f t="shared" si="214"/>
        <v>4.789058039023075E-11</v>
      </c>
      <c r="DJ75" s="194">
        <f t="shared" si="214"/>
        <v>4.789058039023075E-11</v>
      </c>
      <c r="DK75" s="194">
        <f t="shared" si="214"/>
        <v>4.789058039023075E-11</v>
      </c>
      <c r="DL75" s="194">
        <f t="shared" si="214"/>
        <v>4.789058039023075E-11</v>
      </c>
      <c r="DM75" s="194">
        <f t="shared" si="214"/>
        <v>4.789058039023075E-11</v>
      </c>
      <c r="DN75" s="194">
        <f t="shared" si="214"/>
        <v>4.789058039023075E-11</v>
      </c>
      <c r="DO75" s="195">
        <f>DN75</f>
        <v>4.789058039023075E-11</v>
      </c>
    </row>
    <row r="76" spans="1:119" ht="12.75">
      <c r="A76" s="177" t="s">
        <v>78</v>
      </c>
      <c r="B76" s="277">
        <f>Исх!$C$42*12-Исх!$C$43</f>
        <v>75</v>
      </c>
      <c r="CP76" s="180"/>
      <c r="DB76" s="177"/>
      <c r="DO76" s="177"/>
    </row>
    <row r="77" spans="1:119" ht="12.75">
      <c r="A77" s="280" t="s">
        <v>250</v>
      </c>
      <c r="B77" s="281">
        <f>$V$75*$B$20/12/((1-(1+$B$20/12)^-$B76))</f>
        <v>169.31120265659928</v>
      </c>
      <c r="DB77" s="177"/>
      <c r="DO77" s="177"/>
    </row>
    <row r="78" spans="1:119" ht="6" customHeight="1">
      <c r="A78" s="278"/>
      <c r="B78" s="275"/>
      <c r="DB78" s="177"/>
      <c r="DO78" s="177"/>
    </row>
    <row r="79" spans="1:119" ht="12.75">
      <c r="A79" s="263" t="s">
        <v>241</v>
      </c>
      <c r="DB79" s="177"/>
      <c r="DO79" s="177"/>
    </row>
    <row r="80" spans="1:119" ht="12.75" hidden="1" outlineLevel="1">
      <c r="A80" s="264">
        <f>B70+B71-B73</f>
        <v>4.18367562815547E-11</v>
      </c>
      <c r="DB80" s="177"/>
      <c r="DO80" s="177"/>
    </row>
    <row r="81" spans="1:119" ht="12.75" hidden="1" outlineLevel="1">
      <c r="A81" s="264">
        <f>B72-B71-B74</f>
        <v>0</v>
      </c>
      <c r="DB81" s="177"/>
      <c r="DO81" s="177"/>
    </row>
    <row r="82" ht="12.75" collapsed="1"/>
    <row r="83" spans="1:119" ht="12.75">
      <c r="A83" s="289" t="s">
        <v>274</v>
      </c>
      <c r="B83" s="290"/>
      <c r="DB83" s="177"/>
      <c r="DO83" s="177"/>
    </row>
    <row r="84" spans="1:119" ht="15.75" customHeight="1">
      <c r="A84" s="186" t="s">
        <v>11</v>
      </c>
      <c r="B84" s="279">
        <f>Исх!$C$41</f>
        <v>0.07</v>
      </c>
      <c r="C84" s="371">
        <v>2013</v>
      </c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>
        <v>2014</v>
      </c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>
        <v>2015</v>
      </c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  <c r="AO84" s="371"/>
      <c r="AP84" s="371">
        <v>2016</v>
      </c>
      <c r="AQ84" s="371"/>
      <c r="AR84" s="371"/>
      <c r="AS84" s="371"/>
      <c r="AT84" s="371"/>
      <c r="AU84" s="371"/>
      <c r="AV84" s="371"/>
      <c r="AW84" s="371"/>
      <c r="AX84" s="371"/>
      <c r="AY84" s="371"/>
      <c r="AZ84" s="371"/>
      <c r="BA84" s="371"/>
      <c r="BB84" s="371"/>
      <c r="BC84" s="371">
        <v>2017</v>
      </c>
      <c r="BD84" s="371"/>
      <c r="BE84" s="371"/>
      <c r="BF84" s="371"/>
      <c r="BG84" s="371"/>
      <c r="BH84" s="371"/>
      <c r="BI84" s="371"/>
      <c r="BJ84" s="371"/>
      <c r="BK84" s="371"/>
      <c r="BL84" s="371"/>
      <c r="BM84" s="371"/>
      <c r="BN84" s="371"/>
      <c r="BO84" s="371"/>
      <c r="BP84" s="371">
        <v>2018</v>
      </c>
      <c r="BQ84" s="371"/>
      <c r="BR84" s="371"/>
      <c r="BS84" s="371"/>
      <c r="BT84" s="371"/>
      <c r="BU84" s="371"/>
      <c r="BV84" s="371"/>
      <c r="BW84" s="371"/>
      <c r="BX84" s="371"/>
      <c r="BY84" s="371"/>
      <c r="BZ84" s="371"/>
      <c r="CA84" s="371"/>
      <c r="CB84" s="371"/>
      <c r="CC84" s="371">
        <v>2019</v>
      </c>
      <c r="CD84" s="371"/>
      <c r="CE84" s="371"/>
      <c r="CF84" s="371"/>
      <c r="CG84" s="371"/>
      <c r="CH84" s="371"/>
      <c r="CI84" s="371"/>
      <c r="CJ84" s="371"/>
      <c r="CK84" s="371"/>
      <c r="CL84" s="371"/>
      <c r="CM84" s="371"/>
      <c r="CN84" s="371"/>
      <c r="CO84" s="371"/>
      <c r="CP84" s="371">
        <v>2020</v>
      </c>
      <c r="CQ84" s="371"/>
      <c r="CR84" s="371"/>
      <c r="CS84" s="371"/>
      <c r="CT84" s="371"/>
      <c r="CU84" s="371"/>
      <c r="CV84" s="371"/>
      <c r="CW84" s="371"/>
      <c r="CX84" s="371"/>
      <c r="CY84" s="371"/>
      <c r="CZ84" s="371"/>
      <c r="DA84" s="371"/>
      <c r="DB84" s="371"/>
      <c r="DC84" s="371">
        <v>2021</v>
      </c>
      <c r="DD84" s="371"/>
      <c r="DE84" s="371"/>
      <c r="DF84" s="371"/>
      <c r="DG84" s="371"/>
      <c r="DH84" s="371"/>
      <c r="DI84" s="371"/>
      <c r="DJ84" s="371"/>
      <c r="DK84" s="371"/>
      <c r="DL84" s="371"/>
      <c r="DM84" s="371"/>
      <c r="DN84" s="371"/>
      <c r="DO84" s="371"/>
    </row>
    <row r="85" spans="1:119" s="192" customFormat="1" ht="15" customHeight="1">
      <c r="A85" s="188" t="s">
        <v>9</v>
      </c>
      <c r="B85" s="189" t="s">
        <v>89</v>
      </c>
      <c r="C85" s="190">
        <v>1</v>
      </c>
      <c r="D85" s="190">
        <v>2</v>
      </c>
      <c r="E85" s="190">
        <f aca="true" t="shared" si="215" ref="E85:N85">D85+1</f>
        <v>3</v>
      </c>
      <c r="F85" s="190">
        <f t="shared" si="215"/>
        <v>4</v>
      </c>
      <c r="G85" s="190">
        <f t="shared" si="215"/>
        <v>5</v>
      </c>
      <c r="H85" s="190">
        <f t="shared" si="215"/>
        <v>6</v>
      </c>
      <c r="I85" s="190">
        <f t="shared" si="215"/>
        <v>7</v>
      </c>
      <c r="J85" s="190">
        <f t="shared" si="215"/>
        <v>8</v>
      </c>
      <c r="K85" s="190">
        <f t="shared" si="215"/>
        <v>9</v>
      </c>
      <c r="L85" s="190">
        <f t="shared" si="215"/>
        <v>10</v>
      </c>
      <c r="M85" s="190">
        <f t="shared" si="215"/>
        <v>11</v>
      </c>
      <c r="N85" s="190">
        <f t="shared" si="215"/>
        <v>12</v>
      </c>
      <c r="O85" s="191" t="str">
        <f>O69</f>
        <v>Итого</v>
      </c>
      <c r="P85" s="190">
        <v>1</v>
      </c>
      <c r="Q85" s="190">
        <v>2</v>
      </c>
      <c r="R85" s="190">
        <f aca="true" t="shared" si="216" ref="R85:AA85">Q85+1</f>
        <v>3</v>
      </c>
      <c r="S85" s="190">
        <f t="shared" si="216"/>
        <v>4</v>
      </c>
      <c r="T85" s="190">
        <f t="shared" si="216"/>
        <v>5</v>
      </c>
      <c r="U85" s="190">
        <f t="shared" si="216"/>
        <v>6</v>
      </c>
      <c r="V85" s="190">
        <f t="shared" si="216"/>
        <v>7</v>
      </c>
      <c r="W85" s="190">
        <f t="shared" si="216"/>
        <v>8</v>
      </c>
      <c r="X85" s="190">
        <f t="shared" si="216"/>
        <v>9</v>
      </c>
      <c r="Y85" s="190">
        <f t="shared" si="216"/>
        <v>10</v>
      </c>
      <c r="Z85" s="190">
        <f t="shared" si="216"/>
        <v>11</v>
      </c>
      <c r="AA85" s="190">
        <f t="shared" si="216"/>
        <v>12</v>
      </c>
      <c r="AB85" s="191" t="str">
        <f>AB69</f>
        <v>Итого</v>
      </c>
      <c r="AC85" s="190">
        <v>1</v>
      </c>
      <c r="AD85" s="190">
        <v>2</v>
      </c>
      <c r="AE85" s="190">
        <f aca="true" t="shared" si="217" ref="AE85:AN85">AD85+1</f>
        <v>3</v>
      </c>
      <c r="AF85" s="190">
        <f t="shared" si="217"/>
        <v>4</v>
      </c>
      <c r="AG85" s="190">
        <f t="shared" si="217"/>
        <v>5</v>
      </c>
      <c r="AH85" s="190">
        <f t="shared" si="217"/>
        <v>6</v>
      </c>
      <c r="AI85" s="190">
        <f t="shared" si="217"/>
        <v>7</v>
      </c>
      <c r="AJ85" s="190">
        <f t="shared" si="217"/>
        <v>8</v>
      </c>
      <c r="AK85" s="190">
        <f t="shared" si="217"/>
        <v>9</v>
      </c>
      <c r="AL85" s="190">
        <f t="shared" si="217"/>
        <v>10</v>
      </c>
      <c r="AM85" s="190">
        <f t="shared" si="217"/>
        <v>11</v>
      </c>
      <c r="AN85" s="190">
        <f t="shared" si="217"/>
        <v>12</v>
      </c>
      <c r="AO85" s="191" t="str">
        <f>AO69</f>
        <v>Итого</v>
      </c>
      <c r="AP85" s="190">
        <v>1</v>
      </c>
      <c r="AQ85" s="190">
        <v>2</v>
      </c>
      <c r="AR85" s="190">
        <f aca="true" t="shared" si="218" ref="AR85:BA85">AQ85+1</f>
        <v>3</v>
      </c>
      <c r="AS85" s="190">
        <f t="shared" si="218"/>
        <v>4</v>
      </c>
      <c r="AT85" s="190">
        <f t="shared" si="218"/>
        <v>5</v>
      </c>
      <c r="AU85" s="190">
        <f t="shared" si="218"/>
        <v>6</v>
      </c>
      <c r="AV85" s="190">
        <f t="shared" si="218"/>
        <v>7</v>
      </c>
      <c r="AW85" s="190">
        <f t="shared" si="218"/>
        <v>8</v>
      </c>
      <c r="AX85" s="190">
        <f t="shared" si="218"/>
        <v>9</v>
      </c>
      <c r="AY85" s="190">
        <f t="shared" si="218"/>
        <v>10</v>
      </c>
      <c r="AZ85" s="190">
        <f t="shared" si="218"/>
        <v>11</v>
      </c>
      <c r="BA85" s="190">
        <f t="shared" si="218"/>
        <v>12</v>
      </c>
      <c r="BB85" s="191" t="str">
        <f>BB69</f>
        <v>Итого</v>
      </c>
      <c r="BC85" s="190">
        <v>1</v>
      </c>
      <c r="BD85" s="190">
        <v>2</v>
      </c>
      <c r="BE85" s="190">
        <f aca="true" t="shared" si="219" ref="BE85:BN85">BD85+1</f>
        <v>3</v>
      </c>
      <c r="BF85" s="190">
        <f t="shared" si="219"/>
        <v>4</v>
      </c>
      <c r="BG85" s="190">
        <f t="shared" si="219"/>
        <v>5</v>
      </c>
      <c r="BH85" s="190">
        <f t="shared" si="219"/>
        <v>6</v>
      </c>
      <c r="BI85" s="190">
        <f t="shared" si="219"/>
        <v>7</v>
      </c>
      <c r="BJ85" s="190">
        <f t="shared" si="219"/>
        <v>8</v>
      </c>
      <c r="BK85" s="190">
        <f t="shared" si="219"/>
        <v>9</v>
      </c>
      <c r="BL85" s="190">
        <f t="shared" si="219"/>
        <v>10</v>
      </c>
      <c r="BM85" s="190">
        <f t="shared" si="219"/>
        <v>11</v>
      </c>
      <c r="BN85" s="190">
        <f t="shared" si="219"/>
        <v>12</v>
      </c>
      <c r="BO85" s="191" t="str">
        <f>BO69</f>
        <v>Итого</v>
      </c>
      <c r="BP85" s="190">
        <v>1</v>
      </c>
      <c r="BQ85" s="190">
        <v>2</v>
      </c>
      <c r="BR85" s="190">
        <f aca="true" t="shared" si="220" ref="BR85:CA85">BQ85+1</f>
        <v>3</v>
      </c>
      <c r="BS85" s="190">
        <f t="shared" si="220"/>
        <v>4</v>
      </c>
      <c r="BT85" s="190">
        <f t="shared" si="220"/>
        <v>5</v>
      </c>
      <c r="BU85" s="190">
        <f t="shared" si="220"/>
        <v>6</v>
      </c>
      <c r="BV85" s="190">
        <f t="shared" si="220"/>
        <v>7</v>
      </c>
      <c r="BW85" s="190">
        <f t="shared" si="220"/>
        <v>8</v>
      </c>
      <c r="BX85" s="190">
        <f t="shared" si="220"/>
        <v>9</v>
      </c>
      <c r="BY85" s="190">
        <f t="shared" si="220"/>
        <v>10</v>
      </c>
      <c r="BZ85" s="190">
        <f t="shared" si="220"/>
        <v>11</v>
      </c>
      <c r="CA85" s="190">
        <f t="shared" si="220"/>
        <v>12</v>
      </c>
      <c r="CB85" s="191" t="str">
        <f>CB69</f>
        <v>Итого</v>
      </c>
      <c r="CC85" s="190">
        <v>1</v>
      </c>
      <c r="CD85" s="190">
        <v>2</v>
      </c>
      <c r="CE85" s="190">
        <f aca="true" t="shared" si="221" ref="CE85:CN85">CD85+1</f>
        <v>3</v>
      </c>
      <c r="CF85" s="190">
        <f t="shared" si="221"/>
        <v>4</v>
      </c>
      <c r="CG85" s="190">
        <f t="shared" si="221"/>
        <v>5</v>
      </c>
      <c r="CH85" s="190">
        <f t="shared" si="221"/>
        <v>6</v>
      </c>
      <c r="CI85" s="190">
        <f t="shared" si="221"/>
        <v>7</v>
      </c>
      <c r="CJ85" s="190">
        <f t="shared" si="221"/>
        <v>8</v>
      </c>
      <c r="CK85" s="190">
        <f t="shared" si="221"/>
        <v>9</v>
      </c>
      <c r="CL85" s="190">
        <f t="shared" si="221"/>
        <v>10</v>
      </c>
      <c r="CM85" s="190">
        <f t="shared" si="221"/>
        <v>11</v>
      </c>
      <c r="CN85" s="190">
        <f t="shared" si="221"/>
        <v>12</v>
      </c>
      <c r="CO85" s="191" t="str">
        <f>CO69</f>
        <v>Итого</v>
      </c>
      <c r="CP85" s="190">
        <v>1</v>
      </c>
      <c r="CQ85" s="190">
        <f aca="true" t="shared" si="222" ref="CQ85:DA85">CP85+1</f>
        <v>2</v>
      </c>
      <c r="CR85" s="190">
        <f t="shared" si="222"/>
        <v>3</v>
      </c>
      <c r="CS85" s="190">
        <f t="shared" si="222"/>
        <v>4</v>
      </c>
      <c r="CT85" s="190">
        <f t="shared" si="222"/>
        <v>5</v>
      </c>
      <c r="CU85" s="190">
        <f t="shared" si="222"/>
        <v>6</v>
      </c>
      <c r="CV85" s="190">
        <f t="shared" si="222"/>
        <v>7</v>
      </c>
      <c r="CW85" s="190">
        <f t="shared" si="222"/>
        <v>8</v>
      </c>
      <c r="CX85" s="190">
        <f t="shared" si="222"/>
        <v>9</v>
      </c>
      <c r="CY85" s="190">
        <f t="shared" si="222"/>
        <v>10</v>
      </c>
      <c r="CZ85" s="190">
        <f t="shared" si="222"/>
        <v>11</v>
      </c>
      <c r="DA85" s="190">
        <f t="shared" si="222"/>
        <v>12</v>
      </c>
      <c r="DB85" s="191" t="str">
        <f>DB69</f>
        <v>Итого</v>
      </c>
      <c r="DC85" s="190">
        <v>1</v>
      </c>
      <c r="DD85" s="190">
        <f aca="true" t="shared" si="223" ref="DD85:DN85">DC85+1</f>
        <v>2</v>
      </c>
      <c r="DE85" s="190">
        <f t="shared" si="223"/>
        <v>3</v>
      </c>
      <c r="DF85" s="190">
        <f t="shared" si="223"/>
        <v>4</v>
      </c>
      <c r="DG85" s="190">
        <f t="shared" si="223"/>
        <v>5</v>
      </c>
      <c r="DH85" s="190">
        <f t="shared" si="223"/>
        <v>6</v>
      </c>
      <c r="DI85" s="190">
        <f t="shared" si="223"/>
        <v>7</v>
      </c>
      <c r="DJ85" s="190">
        <f t="shared" si="223"/>
        <v>8</v>
      </c>
      <c r="DK85" s="190">
        <f t="shared" si="223"/>
        <v>9</v>
      </c>
      <c r="DL85" s="190">
        <f t="shared" si="223"/>
        <v>10</v>
      </c>
      <c r="DM85" s="190">
        <f t="shared" si="223"/>
        <v>11</v>
      </c>
      <c r="DN85" s="190">
        <f t="shared" si="223"/>
        <v>12</v>
      </c>
      <c r="DO85" s="191" t="s">
        <v>0</v>
      </c>
    </row>
    <row r="86" spans="1:119" ht="12.75">
      <c r="A86" s="188" t="s">
        <v>106</v>
      </c>
      <c r="B86" s="193">
        <f>O86+AB86+AO86+BB86+BO86+CB86+CO86+DB86+DO86</f>
        <v>743.1424000000001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>
        <f>'1-Ф3'!N$29</f>
        <v>743.1424000000001</v>
      </c>
      <c r="N86" s="194"/>
      <c r="O86" s="195">
        <f>SUM(C86:N86)</f>
        <v>743.1424000000001</v>
      </c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>
        <f>SUM(P86:AA86)</f>
        <v>0</v>
      </c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>
        <f>SUM(AC86:AN86)</f>
        <v>0</v>
      </c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</row>
    <row r="87" spans="1:119" s="197" customFormat="1" ht="20.25" customHeight="1">
      <c r="A87" s="188" t="s">
        <v>31</v>
      </c>
      <c r="B87" s="193">
        <f>O87+AB87+AO87+BB87+BO87+CB87+CO87+DB87+DO87</f>
        <v>26.009984000000006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5">
        <f>SUM(C87:N87)</f>
        <v>0</v>
      </c>
      <c r="P87" s="194"/>
      <c r="Q87" s="194"/>
      <c r="R87" s="194"/>
      <c r="S87" s="194"/>
      <c r="T87" s="194">
        <f>SUM(O88:T88)</f>
        <v>26.009984000000006</v>
      </c>
      <c r="U87" s="194"/>
      <c r="V87" s="194"/>
      <c r="W87" s="194"/>
      <c r="X87" s="194"/>
      <c r="Y87" s="194"/>
      <c r="Z87" s="194"/>
      <c r="AA87" s="194"/>
      <c r="AB87" s="195">
        <f>SUM(P87:AA87)</f>
        <v>26.009984000000006</v>
      </c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5">
        <f>SUM(AC87:AN87)</f>
        <v>0</v>
      </c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5">
        <f>SUM(AP87:BA87)</f>
        <v>0</v>
      </c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5">
        <f>SUM(BC87:BN87)</f>
        <v>0</v>
      </c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5">
        <f>SUM(BP87:CA87)</f>
        <v>0</v>
      </c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5">
        <f>SUM(CC87:CN87)</f>
        <v>0</v>
      </c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5">
        <f>SUM(CP87:DA87)</f>
        <v>0</v>
      </c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5">
        <f>SUM(DC87:DN87)</f>
        <v>0</v>
      </c>
    </row>
    <row r="88" spans="1:119" s="197" customFormat="1" ht="12.75">
      <c r="A88" s="198" t="s">
        <v>13</v>
      </c>
      <c r="B88" s="193">
        <f>O88+AB88+AO88+BB88+BO88+CB88+CO88+DB88+DO88</f>
        <v>222.15753570328573</v>
      </c>
      <c r="C88" s="194"/>
      <c r="D88" s="194">
        <f aca="true" t="shared" si="224" ref="D88:N88">C91*$B84/12</f>
        <v>0</v>
      </c>
      <c r="E88" s="194">
        <f t="shared" si="224"/>
        <v>0</v>
      </c>
      <c r="F88" s="194">
        <f t="shared" si="224"/>
        <v>0</v>
      </c>
      <c r="G88" s="194">
        <f t="shared" si="224"/>
        <v>0</v>
      </c>
      <c r="H88" s="194">
        <f t="shared" si="224"/>
        <v>0</v>
      </c>
      <c r="I88" s="194">
        <f t="shared" si="224"/>
        <v>0</v>
      </c>
      <c r="J88" s="194">
        <f t="shared" si="224"/>
        <v>0</v>
      </c>
      <c r="K88" s="194">
        <f t="shared" si="224"/>
        <v>0</v>
      </c>
      <c r="L88" s="194">
        <f t="shared" si="224"/>
        <v>0</v>
      </c>
      <c r="M88" s="194">
        <f t="shared" si="224"/>
        <v>0</v>
      </c>
      <c r="N88" s="194">
        <f t="shared" si="224"/>
        <v>4.334997333333335</v>
      </c>
      <c r="O88" s="195">
        <f>SUM(C88:N88)</f>
        <v>4.334997333333335</v>
      </c>
      <c r="P88" s="194">
        <f aca="true" t="shared" si="225" ref="P88:AA88">O91*$B84/12</f>
        <v>4.334997333333335</v>
      </c>
      <c r="Q88" s="194">
        <f t="shared" si="225"/>
        <v>4.334997333333335</v>
      </c>
      <c r="R88" s="194">
        <f t="shared" si="225"/>
        <v>4.334997333333335</v>
      </c>
      <c r="S88" s="194">
        <f t="shared" si="225"/>
        <v>4.334997333333335</v>
      </c>
      <c r="T88" s="194">
        <f t="shared" si="225"/>
        <v>4.334997333333335</v>
      </c>
      <c r="U88" s="194">
        <f t="shared" si="225"/>
        <v>4.4867222400000015</v>
      </c>
      <c r="V88" s="194">
        <f t="shared" si="225"/>
        <v>4.4867222400000015</v>
      </c>
      <c r="W88" s="194">
        <f t="shared" si="225"/>
        <v>4.4867222400000015</v>
      </c>
      <c r="X88" s="194">
        <f t="shared" si="225"/>
        <v>4.4867222400000015</v>
      </c>
      <c r="Y88" s="194">
        <f t="shared" si="225"/>
        <v>4.438862804367967</v>
      </c>
      <c r="Z88" s="194">
        <f t="shared" si="225"/>
        <v>4.390724188694748</v>
      </c>
      <c r="AA88" s="194">
        <f t="shared" si="225"/>
        <v>4.342304764430101</v>
      </c>
      <c r="AB88" s="195">
        <f>SUM(P88:AA88)</f>
        <v>52.793767384159494</v>
      </c>
      <c r="AC88" s="194">
        <f aca="true" t="shared" si="226" ref="AC88:AN88">AB91*$B84/12</f>
        <v>4.29360289352391</v>
      </c>
      <c r="AD88" s="194">
        <f t="shared" si="226"/>
        <v>4.244616928370767</v>
      </c>
      <c r="AE88" s="194">
        <f t="shared" si="226"/>
        <v>4.19534521175423</v>
      </c>
      <c r="AF88" s="194">
        <f t="shared" si="226"/>
        <v>4.145786076790762</v>
      </c>
      <c r="AG88" s="194">
        <f t="shared" si="226"/>
        <v>4.095937846873342</v>
      </c>
      <c r="AH88" s="194">
        <f t="shared" si="226"/>
        <v>4.045798835614737</v>
      </c>
      <c r="AI88" s="194">
        <f t="shared" si="226"/>
        <v>3.9953673467904562</v>
      </c>
      <c r="AJ88" s="194">
        <f t="shared" si="226"/>
        <v>3.9446416742813675</v>
      </c>
      <c r="AK88" s="194">
        <f t="shared" si="226"/>
        <v>3.893620102015976</v>
      </c>
      <c r="AL88" s="194">
        <f t="shared" si="226"/>
        <v>3.842300903912369</v>
      </c>
      <c r="AM88" s="194">
        <f t="shared" si="226"/>
        <v>3.7906823438198245</v>
      </c>
      <c r="AN88" s="194">
        <f t="shared" si="226"/>
        <v>3.7387626754600736</v>
      </c>
      <c r="AO88" s="195">
        <f>SUM(AC88:AN88)</f>
        <v>48.22646283920781</v>
      </c>
      <c r="AP88" s="194">
        <f aca="true" t="shared" si="227" ref="AP88:BA88">AO91*$B84/12</f>
        <v>3.6865401423682247</v>
      </c>
      <c r="AQ88" s="194">
        <f t="shared" si="227"/>
        <v>3.6340129778333394</v>
      </c>
      <c r="AR88" s="194">
        <f t="shared" si="227"/>
        <v>3.5811794048386676</v>
      </c>
      <c r="AS88" s="194">
        <f t="shared" si="227"/>
        <v>3.5280376360015264</v>
      </c>
      <c r="AT88" s="194">
        <f t="shared" si="227"/>
        <v>3.474585873512835</v>
      </c>
      <c r="AU88" s="194">
        <f t="shared" si="227"/>
        <v>3.420822309076294</v>
      </c>
      <c r="AV88" s="194">
        <f t="shared" si="227"/>
        <v>3.3667451238472057</v>
      </c>
      <c r="AW88" s="194">
        <f t="shared" si="227"/>
        <v>3.312352488370948</v>
      </c>
      <c r="AX88" s="194">
        <f t="shared" si="227"/>
        <v>3.2576425625210788</v>
      </c>
      <c r="AY88" s="194">
        <f t="shared" si="227"/>
        <v>3.2026134954370846</v>
      </c>
      <c r="AZ88" s="194">
        <f t="shared" si="227"/>
        <v>3.1472634254617677</v>
      </c>
      <c r="BA88" s="194">
        <f t="shared" si="227"/>
        <v>3.091590480078262</v>
      </c>
      <c r="BB88" s="195">
        <f>SUM(AP88:BA88)</f>
        <v>40.70338591934723</v>
      </c>
      <c r="BC88" s="194">
        <f aca="true" t="shared" si="228" ref="BC88:BN88">BB91*$B84/12</f>
        <v>3.0355927758466854</v>
      </c>
      <c r="BD88" s="194">
        <f t="shared" si="228"/>
        <v>2.9792684183404248</v>
      </c>
      <c r="BE88" s="194">
        <f t="shared" si="228"/>
        <v>2.922615502082044</v>
      </c>
      <c r="BF88" s="194">
        <f t="shared" si="228"/>
        <v>2.8656321104788227</v>
      </c>
      <c r="BG88" s="194">
        <f t="shared" si="228"/>
        <v>2.8083163157579167</v>
      </c>
      <c r="BH88" s="194">
        <f t="shared" si="228"/>
        <v>2.7506661789011377</v>
      </c>
      <c r="BI88" s="194">
        <f t="shared" si="228"/>
        <v>2.6926797495793617</v>
      </c>
      <c r="BJ88" s="194">
        <f t="shared" si="228"/>
        <v>2.6343550660865414</v>
      </c>
      <c r="BK88" s="194">
        <f t="shared" si="228"/>
        <v>2.5756901552733464</v>
      </c>
      <c r="BL88" s="194">
        <f t="shared" si="228"/>
        <v>2.5166830324804077</v>
      </c>
      <c r="BM88" s="194">
        <f t="shared" si="228"/>
        <v>2.457331701471177</v>
      </c>
      <c r="BN88" s="194">
        <f t="shared" si="228"/>
        <v>2.3976341543643924</v>
      </c>
      <c r="BO88" s="195">
        <f>SUM(BC88:BN88)</f>
        <v>32.636465160662254</v>
      </c>
      <c r="BP88" s="194">
        <f aca="true" t="shared" si="229" ref="BP88:CA88">BO91*$B84/12</f>
        <v>2.3375883715661514</v>
      </c>
      <c r="BQ88" s="194">
        <f t="shared" si="229"/>
        <v>2.2771923217015875</v>
      </c>
      <c r="BR88" s="194">
        <f t="shared" si="229"/>
        <v>2.216443961546147</v>
      </c>
      <c r="BS88" s="194">
        <f t="shared" si="229"/>
        <v>2.1553412359564663</v>
      </c>
      <c r="BT88" s="194">
        <f t="shared" si="229"/>
        <v>2.093882077800846</v>
      </c>
      <c r="BU88" s="194">
        <f t="shared" si="229"/>
        <v>2.032064407889318</v>
      </c>
      <c r="BV88" s="194">
        <f t="shared" si="229"/>
        <v>1.969886134903306</v>
      </c>
      <c r="BW88" s="194">
        <f t="shared" si="229"/>
        <v>1.9073451553248753</v>
      </c>
      <c r="BX88" s="194">
        <f t="shared" si="229"/>
        <v>1.8444393533655707</v>
      </c>
      <c r="BY88" s="194">
        <f t="shared" si="229"/>
        <v>1.7811666008948368</v>
      </c>
      <c r="BZ88" s="194">
        <f t="shared" si="229"/>
        <v>1.7175247573680235</v>
      </c>
      <c r="CA88" s="194">
        <f t="shared" si="229"/>
        <v>1.6535116697539707</v>
      </c>
      <c r="CB88" s="195">
        <f>SUM(BP88:CA88)</f>
        <v>23.9863860480711</v>
      </c>
      <c r="CC88" s="194">
        <f aca="true" t="shared" si="230" ref="CC88:CN88">CB91*$B84/12</f>
        <v>1.5891251724621691</v>
      </c>
      <c r="CD88" s="194">
        <f t="shared" si="230"/>
        <v>1.5243630872694987</v>
      </c>
      <c r="CE88" s="194">
        <f t="shared" si="230"/>
        <v>1.4592232232465376</v>
      </c>
      <c r="CF88" s="194">
        <f t="shared" si="230"/>
        <v>1.3937033766834428</v>
      </c>
      <c r="CG88" s="194">
        <f t="shared" si="230"/>
        <v>1.3278013310153964</v>
      </c>
      <c r="CH88" s="194">
        <f t="shared" si="230"/>
        <v>1.2615148567476198</v>
      </c>
      <c r="CI88" s="194">
        <f t="shared" si="230"/>
        <v>1.1948417113799479</v>
      </c>
      <c r="CJ88" s="194">
        <f t="shared" si="230"/>
        <v>1.1277796393309645</v>
      </c>
      <c r="CK88" s="194">
        <f t="shared" si="230"/>
        <v>1.0603263718616953</v>
      </c>
      <c r="CL88" s="194">
        <f t="shared" si="230"/>
        <v>0.9924796269988554</v>
      </c>
      <c r="CM88" s="194">
        <f t="shared" si="230"/>
        <v>0.924237109457649</v>
      </c>
      <c r="CN88" s="194">
        <f t="shared" si="230"/>
        <v>0.8555965105641188</v>
      </c>
      <c r="CO88" s="195">
        <f>SUM(CC88:CN88)</f>
        <v>14.710992017017896</v>
      </c>
      <c r="CP88" s="194">
        <f aca="true" t="shared" si="231" ref="CP88:DA88">CO91*$B84/12</f>
        <v>0.786555508177043</v>
      </c>
      <c r="CQ88" s="194">
        <f t="shared" si="231"/>
        <v>0.717111766609376</v>
      </c>
      <c r="CR88" s="194">
        <f t="shared" si="231"/>
        <v>0.647262936549231</v>
      </c>
      <c r="CS88" s="194">
        <f t="shared" si="231"/>
        <v>0.5770066549804017</v>
      </c>
      <c r="CT88" s="194">
        <f t="shared" si="231"/>
        <v>0.5063405451024209</v>
      </c>
      <c r="CU88" s="194">
        <f t="shared" si="231"/>
        <v>0.435262216250152</v>
      </c>
      <c r="CV88" s="194">
        <f t="shared" si="231"/>
        <v>0.36376926381291136</v>
      </c>
      <c r="CW88" s="194">
        <f t="shared" si="231"/>
        <v>0.2918592691531202</v>
      </c>
      <c r="CX88" s="194">
        <f t="shared" si="231"/>
        <v>0.2195297995244803</v>
      </c>
      <c r="CY88" s="194">
        <f t="shared" si="231"/>
        <v>0.14677840798967332</v>
      </c>
      <c r="CZ88" s="194">
        <f t="shared" si="231"/>
        <v>0.07360263333757998</v>
      </c>
      <c r="DA88" s="194">
        <f t="shared" si="231"/>
        <v>1.6081950586036936E-14</v>
      </c>
      <c r="DB88" s="195">
        <f>SUM(CP88:DA88)</f>
        <v>4.765079001486405</v>
      </c>
      <c r="DC88" s="194">
        <f aca="true" t="shared" si="232" ref="DC88:DN88">DB91*$B84/12</f>
        <v>1.6081950586036936E-14</v>
      </c>
      <c r="DD88" s="194">
        <f t="shared" si="232"/>
        <v>1.6081950586036936E-14</v>
      </c>
      <c r="DE88" s="194">
        <f t="shared" si="232"/>
        <v>1.6081950586036936E-14</v>
      </c>
      <c r="DF88" s="194">
        <f t="shared" si="232"/>
        <v>1.6081950586036936E-14</v>
      </c>
      <c r="DG88" s="194">
        <f t="shared" si="232"/>
        <v>1.6081950586036936E-14</v>
      </c>
      <c r="DH88" s="194">
        <f t="shared" si="232"/>
        <v>1.6081950586036936E-14</v>
      </c>
      <c r="DI88" s="194">
        <f t="shared" si="232"/>
        <v>1.6081950586036936E-14</v>
      </c>
      <c r="DJ88" s="194">
        <f t="shared" si="232"/>
        <v>1.6081950586036936E-14</v>
      </c>
      <c r="DK88" s="194">
        <f t="shared" si="232"/>
        <v>1.6081950586036936E-14</v>
      </c>
      <c r="DL88" s="194">
        <f t="shared" si="232"/>
        <v>1.6081950586036936E-14</v>
      </c>
      <c r="DM88" s="194">
        <f t="shared" si="232"/>
        <v>1.6081950586036936E-14</v>
      </c>
      <c r="DN88" s="194">
        <f t="shared" si="232"/>
        <v>1.6081950586036936E-14</v>
      </c>
      <c r="DO88" s="195">
        <f>SUM(DC88:DN88)</f>
        <v>1.9298340703244329E-13</v>
      </c>
    </row>
    <row r="89" spans="1:119" ht="12.75">
      <c r="A89" s="188" t="s">
        <v>14</v>
      </c>
      <c r="B89" s="193">
        <f>O89+AB89+AO89+BB89+BO89+CB89+CO89+DB89+DO89</f>
        <v>769.1523839999973</v>
      </c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9"/>
      <c r="O89" s="195">
        <f>SUM(C89:N89)</f>
        <v>0</v>
      </c>
      <c r="P89" s="199"/>
      <c r="Q89" s="199"/>
      <c r="R89" s="199"/>
      <c r="S89" s="199"/>
      <c r="T89" s="199"/>
      <c r="U89" s="199"/>
      <c r="V89" s="199"/>
      <c r="W89" s="199"/>
      <c r="X89" s="194">
        <f>$B93-X88</f>
        <v>8.204474679777103</v>
      </c>
      <c r="Y89" s="194">
        <f>$B93-Y88</f>
        <v>8.252334115409138</v>
      </c>
      <c r="Z89" s="194">
        <f>$B93-Z88</f>
        <v>8.300472731082355</v>
      </c>
      <c r="AA89" s="194">
        <f>$B93-AA88</f>
        <v>8.348892155347002</v>
      </c>
      <c r="AB89" s="195">
        <f>SUM(P89:AA89)</f>
        <v>33.1061736816156</v>
      </c>
      <c r="AC89" s="194">
        <f aca="true" t="shared" si="233" ref="AC89:AN89">$B93-AC88</f>
        <v>8.397594026253195</v>
      </c>
      <c r="AD89" s="194">
        <f t="shared" si="233"/>
        <v>8.446579991406338</v>
      </c>
      <c r="AE89" s="194">
        <f t="shared" si="233"/>
        <v>8.495851708022874</v>
      </c>
      <c r="AF89" s="194">
        <f t="shared" si="233"/>
        <v>8.545410842986342</v>
      </c>
      <c r="AG89" s="194">
        <f t="shared" si="233"/>
        <v>8.595259072903762</v>
      </c>
      <c r="AH89" s="194">
        <f t="shared" si="233"/>
        <v>8.645398084162366</v>
      </c>
      <c r="AI89" s="194">
        <f t="shared" si="233"/>
        <v>8.695829572986648</v>
      </c>
      <c r="AJ89" s="194">
        <f t="shared" si="233"/>
        <v>8.746555245495736</v>
      </c>
      <c r="AK89" s="194">
        <f t="shared" si="233"/>
        <v>8.797576817761128</v>
      </c>
      <c r="AL89" s="194">
        <f t="shared" si="233"/>
        <v>8.848896015864735</v>
      </c>
      <c r="AM89" s="194">
        <f t="shared" si="233"/>
        <v>8.90051457595728</v>
      </c>
      <c r="AN89" s="194">
        <f t="shared" si="233"/>
        <v>8.95243424431703</v>
      </c>
      <c r="AO89" s="195">
        <f>SUM(AC89:AN89)</f>
        <v>104.06790019811743</v>
      </c>
      <c r="AP89" s="194">
        <f aca="true" t="shared" si="234" ref="AP89:BA89">$B93-AP88</f>
        <v>9.00465677740888</v>
      </c>
      <c r="AQ89" s="194">
        <f t="shared" si="234"/>
        <v>9.057183941943764</v>
      </c>
      <c r="AR89" s="194">
        <f t="shared" si="234"/>
        <v>9.110017514938436</v>
      </c>
      <c r="AS89" s="194">
        <f t="shared" si="234"/>
        <v>9.163159283775578</v>
      </c>
      <c r="AT89" s="194">
        <f t="shared" si="234"/>
        <v>9.21661104626427</v>
      </c>
      <c r="AU89" s="194">
        <f t="shared" si="234"/>
        <v>9.27037461070081</v>
      </c>
      <c r="AV89" s="194">
        <f t="shared" si="234"/>
        <v>9.324451795929898</v>
      </c>
      <c r="AW89" s="194">
        <f t="shared" si="234"/>
        <v>9.378844431406156</v>
      </c>
      <c r="AX89" s="194">
        <f t="shared" si="234"/>
        <v>9.433554357256025</v>
      </c>
      <c r="AY89" s="194">
        <f t="shared" si="234"/>
        <v>9.48858342434002</v>
      </c>
      <c r="AZ89" s="194">
        <f t="shared" si="234"/>
        <v>9.543933494315336</v>
      </c>
      <c r="BA89" s="194">
        <f t="shared" si="234"/>
        <v>9.599606439698842</v>
      </c>
      <c r="BB89" s="195">
        <f>SUM(AP89:BA89)</f>
        <v>111.59097711797803</v>
      </c>
      <c r="BC89" s="194">
        <f aca="true" t="shared" si="235" ref="BC89:BN89">$B93-BC88</f>
        <v>9.655604143930418</v>
      </c>
      <c r="BD89" s="194">
        <f t="shared" si="235"/>
        <v>9.71192850143668</v>
      </c>
      <c r="BE89" s="194">
        <f t="shared" si="235"/>
        <v>9.76858141769506</v>
      </c>
      <c r="BF89" s="194">
        <f t="shared" si="235"/>
        <v>9.825564809298282</v>
      </c>
      <c r="BG89" s="194">
        <f t="shared" si="235"/>
        <v>9.882880604019187</v>
      </c>
      <c r="BH89" s="194">
        <f t="shared" si="235"/>
        <v>9.940530740875966</v>
      </c>
      <c r="BI89" s="194">
        <f t="shared" si="235"/>
        <v>9.998517170197742</v>
      </c>
      <c r="BJ89" s="194">
        <f t="shared" si="235"/>
        <v>10.056841853690562</v>
      </c>
      <c r="BK89" s="194">
        <f t="shared" si="235"/>
        <v>10.115506764503758</v>
      </c>
      <c r="BL89" s="194">
        <f t="shared" si="235"/>
        <v>10.174513887296696</v>
      </c>
      <c r="BM89" s="194">
        <f t="shared" si="235"/>
        <v>10.233865218305926</v>
      </c>
      <c r="BN89" s="194">
        <f t="shared" si="235"/>
        <v>10.293562765412712</v>
      </c>
      <c r="BO89" s="195">
        <f>SUM(BC89:BN89)</f>
        <v>119.65789787666299</v>
      </c>
      <c r="BP89" s="194">
        <f aca="true" t="shared" si="236" ref="BP89:CA89">$B93-BP88</f>
        <v>10.353608548210953</v>
      </c>
      <c r="BQ89" s="194">
        <f t="shared" si="236"/>
        <v>10.414004598075516</v>
      </c>
      <c r="BR89" s="194">
        <f t="shared" si="236"/>
        <v>10.474752958230956</v>
      </c>
      <c r="BS89" s="194">
        <f t="shared" si="236"/>
        <v>10.535855683820637</v>
      </c>
      <c r="BT89" s="194">
        <f t="shared" si="236"/>
        <v>10.597314841976258</v>
      </c>
      <c r="BU89" s="194">
        <f t="shared" si="236"/>
        <v>10.659132511887787</v>
      </c>
      <c r="BV89" s="194">
        <f t="shared" si="236"/>
        <v>10.721310784873797</v>
      </c>
      <c r="BW89" s="194">
        <f t="shared" si="236"/>
        <v>10.783851764452228</v>
      </c>
      <c r="BX89" s="194">
        <f t="shared" si="236"/>
        <v>10.846757566411533</v>
      </c>
      <c r="BY89" s="194">
        <f t="shared" si="236"/>
        <v>10.910030318882267</v>
      </c>
      <c r="BZ89" s="194">
        <f t="shared" si="236"/>
        <v>10.97367216240908</v>
      </c>
      <c r="CA89" s="194">
        <f t="shared" si="236"/>
        <v>11.037685250023133</v>
      </c>
      <c r="CB89" s="195">
        <f>SUM(BP89:CA89)</f>
        <v>128.30797698925414</v>
      </c>
      <c r="CC89" s="194">
        <f aca="true" t="shared" si="237" ref="CC89:CN89">$B93-CC88</f>
        <v>11.102071747314934</v>
      </c>
      <c r="CD89" s="194">
        <f t="shared" si="237"/>
        <v>11.166833832507605</v>
      </c>
      <c r="CE89" s="194">
        <f t="shared" si="237"/>
        <v>11.231973696530567</v>
      </c>
      <c r="CF89" s="194">
        <f t="shared" si="237"/>
        <v>11.297493543093662</v>
      </c>
      <c r="CG89" s="194">
        <f t="shared" si="237"/>
        <v>11.363395588761708</v>
      </c>
      <c r="CH89" s="194">
        <f t="shared" si="237"/>
        <v>11.429682063029484</v>
      </c>
      <c r="CI89" s="194">
        <f t="shared" si="237"/>
        <v>11.496355208397157</v>
      </c>
      <c r="CJ89" s="194">
        <f t="shared" si="237"/>
        <v>11.563417280446139</v>
      </c>
      <c r="CK89" s="194">
        <f t="shared" si="237"/>
        <v>11.630870547915409</v>
      </c>
      <c r="CL89" s="194">
        <f t="shared" si="237"/>
        <v>11.698717292778248</v>
      </c>
      <c r="CM89" s="194">
        <f t="shared" si="237"/>
        <v>11.766959810319454</v>
      </c>
      <c r="CN89" s="194">
        <f t="shared" si="237"/>
        <v>11.835600409212985</v>
      </c>
      <c r="CO89" s="195">
        <f>SUM(CC89:CN89)</f>
        <v>137.58337102030734</v>
      </c>
      <c r="CP89" s="194">
        <f aca="true" t="shared" si="238" ref="CP89:CZ89">$B93-CP88</f>
        <v>11.90464141160006</v>
      </c>
      <c r="CQ89" s="194">
        <f t="shared" si="238"/>
        <v>11.974085153167728</v>
      </c>
      <c r="CR89" s="194">
        <f t="shared" si="238"/>
        <v>12.043933983227873</v>
      </c>
      <c r="CS89" s="194">
        <f t="shared" si="238"/>
        <v>12.114190264796703</v>
      </c>
      <c r="CT89" s="194">
        <f t="shared" si="238"/>
        <v>12.184856374674682</v>
      </c>
      <c r="CU89" s="194">
        <f t="shared" si="238"/>
        <v>12.255934703526952</v>
      </c>
      <c r="CV89" s="194">
        <f t="shared" si="238"/>
        <v>12.327427655964193</v>
      </c>
      <c r="CW89" s="194">
        <f t="shared" si="238"/>
        <v>12.399337650623984</v>
      </c>
      <c r="CX89" s="194">
        <f t="shared" si="238"/>
        <v>12.471667120252624</v>
      </c>
      <c r="CY89" s="194">
        <f t="shared" si="238"/>
        <v>12.54441851178743</v>
      </c>
      <c r="CZ89" s="194">
        <f t="shared" si="238"/>
        <v>12.617594286439523</v>
      </c>
      <c r="DA89" s="194"/>
      <c r="DB89" s="195">
        <f>SUM(CP89:DA89)</f>
        <v>134.83808711606173</v>
      </c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5">
        <f>SUM(DC89:DN89)</f>
        <v>0</v>
      </c>
    </row>
    <row r="90" spans="1:119" ht="12.75">
      <c r="A90" s="188" t="s">
        <v>15</v>
      </c>
      <c r="B90" s="193">
        <f>O90+AB90+AO90+BB90+BO90+CB90+CO90+DB90+DO90</f>
        <v>196.14755170328573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9"/>
      <c r="O90" s="195">
        <f>SUM(C90:N90)</f>
        <v>0</v>
      </c>
      <c r="P90" s="199"/>
      <c r="Q90" s="199"/>
      <c r="R90" s="199"/>
      <c r="S90" s="199"/>
      <c r="T90" s="199"/>
      <c r="U90" s="194">
        <f aca="true" t="shared" si="239" ref="U90:AA90">U88</f>
        <v>4.4867222400000015</v>
      </c>
      <c r="V90" s="194">
        <f t="shared" si="239"/>
        <v>4.4867222400000015</v>
      </c>
      <c r="W90" s="194">
        <f t="shared" si="239"/>
        <v>4.4867222400000015</v>
      </c>
      <c r="X90" s="194">
        <f t="shared" si="239"/>
        <v>4.4867222400000015</v>
      </c>
      <c r="Y90" s="194">
        <f t="shared" si="239"/>
        <v>4.438862804367967</v>
      </c>
      <c r="Z90" s="194">
        <f t="shared" si="239"/>
        <v>4.390724188694748</v>
      </c>
      <c r="AA90" s="194">
        <f t="shared" si="239"/>
        <v>4.342304764430101</v>
      </c>
      <c r="AB90" s="195">
        <f>SUM(P90:AA90)</f>
        <v>31.11878071749282</v>
      </c>
      <c r="AC90" s="194">
        <f aca="true" t="shared" si="240" ref="AC90:AK90">AC88</f>
        <v>4.29360289352391</v>
      </c>
      <c r="AD90" s="194">
        <f t="shared" si="240"/>
        <v>4.244616928370767</v>
      </c>
      <c r="AE90" s="194">
        <f t="shared" si="240"/>
        <v>4.19534521175423</v>
      </c>
      <c r="AF90" s="194">
        <f t="shared" si="240"/>
        <v>4.145786076790762</v>
      </c>
      <c r="AG90" s="194">
        <f t="shared" si="240"/>
        <v>4.095937846873342</v>
      </c>
      <c r="AH90" s="194">
        <f t="shared" si="240"/>
        <v>4.045798835614737</v>
      </c>
      <c r="AI90" s="194">
        <f t="shared" si="240"/>
        <v>3.9953673467904562</v>
      </c>
      <c r="AJ90" s="194">
        <f t="shared" si="240"/>
        <v>3.9446416742813675</v>
      </c>
      <c r="AK90" s="194">
        <f t="shared" si="240"/>
        <v>3.893620102015976</v>
      </c>
      <c r="AL90" s="194">
        <f>AL88</f>
        <v>3.842300903912369</v>
      </c>
      <c r="AM90" s="194">
        <f>AM88</f>
        <v>3.7906823438198245</v>
      </c>
      <c r="AN90" s="194">
        <f>AN88</f>
        <v>3.7387626754600736</v>
      </c>
      <c r="AO90" s="195">
        <f>SUM(AC90:AN90)</f>
        <v>48.22646283920781</v>
      </c>
      <c r="AP90" s="194">
        <f aca="true" t="shared" si="241" ref="AP90:BA90">AP88</f>
        <v>3.6865401423682247</v>
      </c>
      <c r="AQ90" s="194">
        <f t="shared" si="241"/>
        <v>3.6340129778333394</v>
      </c>
      <c r="AR90" s="194">
        <f t="shared" si="241"/>
        <v>3.5811794048386676</v>
      </c>
      <c r="AS90" s="194">
        <f t="shared" si="241"/>
        <v>3.5280376360015264</v>
      </c>
      <c r="AT90" s="194">
        <f t="shared" si="241"/>
        <v>3.474585873512835</v>
      </c>
      <c r="AU90" s="194">
        <f t="shared" si="241"/>
        <v>3.420822309076294</v>
      </c>
      <c r="AV90" s="194">
        <f t="shared" si="241"/>
        <v>3.3667451238472057</v>
      </c>
      <c r="AW90" s="194">
        <f t="shared" si="241"/>
        <v>3.312352488370948</v>
      </c>
      <c r="AX90" s="194">
        <f t="shared" si="241"/>
        <v>3.2576425625210788</v>
      </c>
      <c r="AY90" s="194">
        <f t="shared" si="241"/>
        <v>3.2026134954370846</v>
      </c>
      <c r="AZ90" s="194">
        <f t="shared" si="241"/>
        <v>3.1472634254617677</v>
      </c>
      <c r="BA90" s="194">
        <f t="shared" si="241"/>
        <v>3.091590480078262</v>
      </c>
      <c r="BB90" s="195">
        <f>SUM(AP90:BA90)</f>
        <v>40.70338591934723</v>
      </c>
      <c r="BC90" s="194">
        <f aca="true" t="shared" si="242" ref="BC90:BN90">BC88</f>
        <v>3.0355927758466854</v>
      </c>
      <c r="BD90" s="194">
        <f t="shared" si="242"/>
        <v>2.9792684183404248</v>
      </c>
      <c r="BE90" s="194">
        <f t="shared" si="242"/>
        <v>2.922615502082044</v>
      </c>
      <c r="BF90" s="194">
        <f t="shared" si="242"/>
        <v>2.8656321104788227</v>
      </c>
      <c r="BG90" s="194">
        <f t="shared" si="242"/>
        <v>2.8083163157579167</v>
      </c>
      <c r="BH90" s="194">
        <f t="shared" si="242"/>
        <v>2.7506661789011377</v>
      </c>
      <c r="BI90" s="194">
        <f t="shared" si="242"/>
        <v>2.6926797495793617</v>
      </c>
      <c r="BJ90" s="194">
        <f t="shared" si="242"/>
        <v>2.6343550660865414</v>
      </c>
      <c r="BK90" s="194">
        <f t="shared" si="242"/>
        <v>2.5756901552733464</v>
      </c>
      <c r="BL90" s="194">
        <f t="shared" si="242"/>
        <v>2.5166830324804077</v>
      </c>
      <c r="BM90" s="194">
        <f t="shared" si="242"/>
        <v>2.457331701471177</v>
      </c>
      <c r="BN90" s="194">
        <f t="shared" si="242"/>
        <v>2.3976341543643924</v>
      </c>
      <c r="BO90" s="195">
        <f>SUM(BC90:BN90)</f>
        <v>32.636465160662254</v>
      </c>
      <c r="BP90" s="194">
        <f aca="true" t="shared" si="243" ref="BP90:CA90">BP88</f>
        <v>2.3375883715661514</v>
      </c>
      <c r="BQ90" s="194">
        <f t="shared" si="243"/>
        <v>2.2771923217015875</v>
      </c>
      <c r="BR90" s="194">
        <f t="shared" si="243"/>
        <v>2.216443961546147</v>
      </c>
      <c r="BS90" s="194">
        <f t="shared" si="243"/>
        <v>2.1553412359564663</v>
      </c>
      <c r="BT90" s="194">
        <f t="shared" si="243"/>
        <v>2.093882077800846</v>
      </c>
      <c r="BU90" s="194">
        <f t="shared" si="243"/>
        <v>2.032064407889318</v>
      </c>
      <c r="BV90" s="194">
        <f t="shared" si="243"/>
        <v>1.969886134903306</v>
      </c>
      <c r="BW90" s="194">
        <f t="shared" si="243"/>
        <v>1.9073451553248753</v>
      </c>
      <c r="BX90" s="194">
        <f t="shared" si="243"/>
        <v>1.8444393533655707</v>
      </c>
      <c r="BY90" s="194">
        <f t="shared" si="243"/>
        <v>1.7811666008948368</v>
      </c>
      <c r="BZ90" s="194">
        <f t="shared" si="243"/>
        <v>1.7175247573680235</v>
      </c>
      <c r="CA90" s="194">
        <f t="shared" si="243"/>
        <v>1.6535116697539707</v>
      </c>
      <c r="CB90" s="195">
        <f>SUM(BP90:CA90)</f>
        <v>23.9863860480711</v>
      </c>
      <c r="CC90" s="194">
        <f aca="true" t="shared" si="244" ref="CC90:CN90">CC88</f>
        <v>1.5891251724621691</v>
      </c>
      <c r="CD90" s="194">
        <f t="shared" si="244"/>
        <v>1.5243630872694987</v>
      </c>
      <c r="CE90" s="194">
        <f t="shared" si="244"/>
        <v>1.4592232232465376</v>
      </c>
      <c r="CF90" s="194">
        <f t="shared" si="244"/>
        <v>1.3937033766834428</v>
      </c>
      <c r="CG90" s="194">
        <f t="shared" si="244"/>
        <v>1.3278013310153964</v>
      </c>
      <c r="CH90" s="194">
        <f t="shared" si="244"/>
        <v>1.2615148567476198</v>
      </c>
      <c r="CI90" s="194">
        <f t="shared" si="244"/>
        <v>1.1948417113799479</v>
      </c>
      <c r="CJ90" s="194">
        <f t="shared" si="244"/>
        <v>1.1277796393309645</v>
      </c>
      <c r="CK90" s="194">
        <f t="shared" si="244"/>
        <v>1.0603263718616953</v>
      </c>
      <c r="CL90" s="194">
        <f t="shared" si="244"/>
        <v>0.9924796269988554</v>
      </c>
      <c r="CM90" s="194">
        <f t="shared" si="244"/>
        <v>0.924237109457649</v>
      </c>
      <c r="CN90" s="194">
        <f t="shared" si="244"/>
        <v>0.8555965105641188</v>
      </c>
      <c r="CO90" s="195">
        <f>SUM(CC90:CN90)</f>
        <v>14.710992017017896</v>
      </c>
      <c r="CP90" s="194">
        <f aca="true" t="shared" si="245" ref="CP90:DA90">CP88</f>
        <v>0.786555508177043</v>
      </c>
      <c r="CQ90" s="194">
        <f t="shared" si="245"/>
        <v>0.717111766609376</v>
      </c>
      <c r="CR90" s="194">
        <f t="shared" si="245"/>
        <v>0.647262936549231</v>
      </c>
      <c r="CS90" s="194">
        <f t="shared" si="245"/>
        <v>0.5770066549804017</v>
      </c>
      <c r="CT90" s="194">
        <f t="shared" si="245"/>
        <v>0.5063405451024209</v>
      </c>
      <c r="CU90" s="194">
        <f t="shared" si="245"/>
        <v>0.435262216250152</v>
      </c>
      <c r="CV90" s="194">
        <f t="shared" si="245"/>
        <v>0.36376926381291136</v>
      </c>
      <c r="CW90" s="194">
        <f t="shared" si="245"/>
        <v>0.2918592691531202</v>
      </c>
      <c r="CX90" s="194">
        <f t="shared" si="245"/>
        <v>0.2195297995244803</v>
      </c>
      <c r="CY90" s="194">
        <f t="shared" si="245"/>
        <v>0.14677840798967332</v>
      </c>
      <c r="CZ90" s="194">
        <f t="shared" si="245"/>
        <v>0.07360263333757998</v>
      </c>
      <c r="DA90" s="194">
        <f t="shared" si="245"/>
        <v>1.6081950586036936E-14</v>
      </c>
      <c r="DB90" s="195">
        <f>SUM(CP90:DA90)</f>
        <v>4.765079001486405</v>
      </c>
      <c r="DC90" s="194">
        <f aca="true" t="shared" si="246" ref="DC90:DN90">DC88</f>
        <v>1.6081950586036936E-14</v>
      </c>
      <c r="DD90" s="194">
        <f t="shared" si="246"/>
        <v>1.6081950586036936E-14</v>
      </c>
      <c r="DE90" s="194">
        <f t="shared" si="246"/>
        <v>1.6081950586036936E-14</v>
      </c>
      <c r="DF90" s="194">
        <f t="shared" si="246"/>
        <v>1.6081950586036936E-14</v>
      </c>
      <c r="DG90" s="194">
        <f t="shared" si="246"/>
        <v>1.6081950586036936E-14</v>
      </c>
      <c r="DH90" s="194">
        <f t="shared" si="246"/>
        <v>1.6081950586036936E-14</v>
      </c>
      <c r="DI90" s="194">
        <f t="shared" si="246"/>
        <v>1.6081950586036936E-14</v>
      </c>
      <c r="DJ90" s="194">
        <f t="shared" si="246"/>
        <v>1.6081950586036936E-14</v>
      </c>
      <c r="DK90" s="194">
        <f t="shared" si="246"/>
        <v>1.6081950586036936E-14</v>
      </c>
      <c r="DL90" s="194">
        <f t="shared" si="246"/>
        <v>1.6081950586036936E-14</v>
      </c>
      <c r="DM90" s="194">
        <f t="shared" si="246"/>
        <v>1.6081950586036936E-14</v>
      </c>
      <c r="DN90" s="194">
        <f t="shared" si="246"/>
        <v>1.6081950586036936E-14</v>
      </c>
      <c r="DO90" s="195">
        <f>SUM(DC90:DN90)</f>
        <v>1.9298340703244329E-13</v>
      </c>
    </row>
    <row r="91" spans="1:119" ht="12.75">
      <c r="A91" s="188" t="s">
        <v>16</v>
      </c>
      <c r="B91" s="193">
        <f>DO91</f>
        <v>2.7569058147491887E-12</v>
      </c>
      <c r="C91" s="194">
        <f>C86</f>
        <v>0</v>
      </c>
      <c r="D91" s="194">
        <f aca="true" t="shared" si="247" ref="D91:N91">C91+D86-D89+D87</f>
        <v>0</v>
      </c>
      <c r="E91" s="194">
        <f t="shared" si="247"/>
        <v>0</v>
      </c>
      <c r="F91" s="194">
        <f t="shared" si="247"/>
        <v>0</v>
      </c>
      <c r="G91" s="194">
        <f t="shared" si="247"/>
        <v>0</v>
      </c>
      <c r="H91" s="194">
        <f t="shared" si="247"/>
        <v>0</v>
      </c>
      <c r="I91" s="194">
        <f t="shared" si="247"/>
        <v>0</v>
      </c>
      <c r="J91" s="194">
        <f t="shared" si="247"/>
        <v>0</v>
      </c>
      <c r="K91" s="194">
        <f t="shared" si="247"/>
        <v>0</v>
      </c>
      <c r="L91" s="194">
        <f t="shared" si="247"/>
        <v>0</v>
      </c>
      <c r="M91" s="194">
        <f t="shared" si="247"/>
        <v>743.1424000000001</v>
      </c>
      <c r="N91" s="194">
        <f t="shared" si="247"/>
        <v>743.1424000000001</v>
      </c>
      <c r="O91" s="195">
        <f>N91</f>
        <v>743.1424000000001</v>
      </c>
      <c r="P91" s="194">
        <f aca="true" t="shared" si="248" ref="P91:AA91">O91+P86-P89+P87</f>
        <v>743.1424000000001</v>
      </c>
      <c r="Q91" s="194">
        <f t="shared" si="248"/>
        <v>743.1424000000001</v>
      </c>
      <c r="R91" s="194">
        <f t="shared" si="248"/>
        <v>743.1424000000001</v>
      </c>
      <c r="S91" s="194">
        <f t="shared" si="248"/>
        <v>743.1424000000001</v>
      </c>
      <c r="T91" s="194">
        <f t="shared" si="248"/>
        <v>769.1523840000001</v>
      </c>
      <c r="U91" s="194">
        <f t="shared" si="248"/>
        <v>769.1523840000001</v>
      </c>
      <c r="V91" s="194">
        <f t="shared" si="248"/>
        <v>769.1523840000001</v>
      </c>
      <c r="W91" s="194">
        <f t="shared" si="248"/>
        <v>769.1523840000001</v>
      </c>
      <c r="X91" s="194">
        <f t="shared" si="248"/>
        <v>760.947909320223</v>
      </c>
      <c r="Y91" s="194">
        <f t="shared" si="248"/>
        <v>752.6955752048138</v>
      </c>
      <c r="Z91" s="194">
        <f t="shared" si="248"/>
        <v>744.3951024737315</v>
      </c>
      <c r="AA91" s="194">
        <f t="shared" si="248"/>
        <v>736.0462103183845</v>
      </c>
      <c r="AB91" s="195">
        <f>AA91</f>
        <v>736.0462103183845</v>
      </c>
      <c r="AC91" s="194">
        <f aca="true" t="shared" si="249" ref="AC91:AN91">AB91+AC86-AC89+AC87</f>
        <v>727.6486162921314</v>
      </c>
      <c r="AD91" s="194">
        <f t="shared" si="249"/>
        <v>719.202036300725</v>
      </c>
      <c r="AE91" s="194">
        <f t="shared" si="249"/>
        <v>710.7061845927021</v>
      </c>
      <c r="AF91" s="194">
        <f t="shared" si="249"/>
        <v>702.1607737497158</v>
      </c>
      <c r="AG91" s="194">
        <f t="shared" si="249"/>
        <v>693.565514676812</v>
      </c>
      <c r="AH91" s="194">
        <f t="shared" si="249"/>
        <v>684.9201165926496</v>
      </c>
      <c r="AI91" s="194">
        <f t="shared" si="249"/>
        <v>676.2242870196629</v>
      </c>
      <c r="AJ91" s="194">
        <f t="shared" si="249"/>
        <v>667.4777317741672</v>
      </c>
      <c r="AK91" s="194">
        <f t="shared" si="249"/>
        <v>658.680154956406</v>
      </c>
      <c r="AL91" s="194">
        <f t="shared" si="249"/>
        <v>649.8312589405413</v>
      </c>
      <c r="AM91" s="194">
        <f t="shared" si="249"/>
        <v>640.930744364584</v>
      </c>
      <c r="AN91" s="194">
        <f t="shared" si="249"/>
        <v>631.978310120267</v>
      </c>
      <c r="AO91" s="195">
        <f>AN91</f>
        <v>631.978310120267</v>
      </c>
      <c r="AP91" s="194">
        <f aca="true" t="shared" si="250" ref="AP91:BA91">AO91+AP86-AP89+AP87</f>
        <v>622.9736533428581</v>
      </c>
      <c r="AQ91" s="194">
        <f t="shared" si="250"/>
        <v>613.9164694009144</v>
      </c>
      <c r="AR91" s="194">
        <f t="shared" si="250"/>
        <v>604.8064518859759</v>
      </c>
      <c r="AS91" s="194">
        <f t="shared" si="250"/>
        <v>595.6432926022003</v>
      </c>
      <c r="AT91" s="194">
        <f t="shared" si="250"/>
        <v>586.426681555936</v>
      </c>
      <c r="AU91" s="194">
        <f t="shared" si="250"/>
        <v>577.1563069452352</v>
      </c>
      <c r="AV91" s="194">
        <f t="shared" si="250"/>
        <v>567.8318551493053</v>
      </c>
      <c r="AW91" s="194">
        <f t="shared" si="250"/>
        <v>558.4530107178991</v>
      </c>
      <c r="AX91" s="194">
        <f t="shared" si="250"/>
        <v>549.0194563606431</v>
      </c>
      <c r="AY91" s="194">
        <f t="shared" si="250"/>
        <v>539.530872936303</v>
      </c>
      <c r="AZ91" s="194">
        <f t="shared" si="250"/>
        <v>529.9869394419877</v>
      </c>
      <c r="BA91" s="194">
        <f t="shared" si="250"/>
        <v>520.3873330022889</v>
      </c>
      <c r="BB91" s="195">
        <f>BA91</f>
        <v>520.3873330022889</v>
      </c>
      <c r="BC91" s="194">
        <f aca="true" t="shared" si="251" ref="BC91:BN91">BB91+BC86-BC89+BC87</f>
        <v>510.73172885835845</v>
      </c>
      <c r="BD91" s="194">
        <f t="shared" si="251"/>
        <v>501.0198003569218</v>
      </c>
      <c r="BE91" s="194">
        <f t="shared" si="251"/>
        <v>491.25121893922676</v>
      </c>
      <c r="BF91" s="194">
        <f t="shared" si="251"/>
        <v>481.4256541299285</v>
      </c>
      <c r="BG91" s="194">
        <f t="shared" si="251"/>
        <v>471.5427735259093</v>
      </c>
      <c r="BH91" s="194">
        <f t="shared" si="251"/>
        <v>461.60224278503335</v>
      </c>
      <c r="BI91" s="194">
        <f t="shared" si="251"/>
        <v>451.60372561483564</v>
      </c>
      <c r="BJ91" s="194">
        <f t="shared" si="251"/>
        <v>441.54688376114507</v>
      </c>
      <c r="BK91" s="194">
        <f t="shared" si="251"/>
        <v>431.4313769966413</v>
      </c>
      <c r="BL91" s="194">
        <f t="shared" si="251"/>
        <v>421.2568631093446</v>
      </c>
      <c r="BM91" s="194">
        <f t="shared" si="251"/>
        <v>411.02299789103864</v>
      </c>
      <c r="BN91" s="194">
        <f t="shared" si="251"/>
        <v>400.7294351256259</v>
      </c>
      <c r="BO91" s="195">
        <f>BN91</f>
        <v>400.7294351256259</v>
      </c>
      <c r="BP91" s="194">
        <f aca="true" t="shared" si="252" ref="BP91:CA91">BO91+BP86-BP89+BP87</f>
        <v>390.37582657741495</v>
      </c>
      <c r="BQ91" s="194">
        <f t="shared" si="252"/>
        <v>379.96182197933945</v>
      </c>
      <c r="BR91" s="194">
        <f t="shared" si="252"/>
        <v>369.4870690211085</v>
      </c>
      <c r="BS91" s="194">
        <f t="shared" si="252"/>
        <v>358.95121333728787</v>
      </c>
      <c r="BT91" s="194">
        <f t="shared" si="252"/>
        <v>348.3538984953116</v>
      </c>
      <c r="BU91" s="194">
        <f t="shared" si="252"/>
        <v>337.69476598342385</v>
      </c>
      <c r="BV91" s="194">
        <f t="shared" si="252"/>
        <v>326.97345519855</v>
      </c>
      <c r="BW91" s="194">
        <f t="shared" si="252"/>
        <v>316.1896034340978</v>
      </c>
      <c r="BX91" s="194">
        <f t="shared" si="252"/>
        <v>305.34284586768626</v>
      </c>
      <c r="BY91" s="194">
        <f t="shared" si="252"/>
        <v>294.432815548804</v>
      </c>
      <c r="BZ91" s="194">
        <f t="shared" si="252"/>
        <v>283.45914338639494</v>
      </c>
      <c r="CA91" s="194">
        <f t="shared" si="252"/>
        <v>272.4214581363718</v>
      </c>
      <c r="CB91" s="195">
        <f>CA91</f>
        <v>272.4214581363718</v>
      </c>
      <c r="CC91" s="194">
        <f aca="true" t="shared" si="253" ref="CC91:CN91">CB91+CC86-CC89+CC87</f>
        <v>261.3193863890569</v>
      </c>
      <c r="CD91" s="194">
        <f t="shared" si="253"/>
        <v>250.1525525565493</v>
      </c>
      <c r="CE91" s="194">
        <f t="shared" si="253"/>
        <v>238.92057886001874</v>
      </c>
      <c r="CF91" s="194">
        <f t="shared" si="253"/>
        <v>227.62308531692508</v>
      </c>
      <c r="CG91" s="194">
        <f t="shared" si="253"/>
        <v>216.25968972816338</v>
      </c>
      <c r="CH91" s="194">
        <f t="shared" si="253"/>
        <v>204.8300076651339</v>
      </c>
      <c r="CI91" s="194">
        <f t="shared" si="253"/>
        <v>193.33365245673676</v>
      </c>
      <c r="CJ91" s="194">
        <f t="shared" si="253"/>
        <v>181.7702351762906</v>
      </c>
      <c r="CK91" s="194">
        <f t="shared" si="253"/>
        <v>170.1393646283752</v>
      </c>
      <c r="CL91" s="194">
        <f t="shared" si="253"/>
        <v>158.44064733559696</v>
      </c>
      <c r="CM91" s="194">
        <f t="shared" si="253"/>
        <v>146.6736875252775</v>
      </c>
      <c r="CN91" s="194">
        <f t="shared" si="253"/>
        <v>134.83808711606451</v>
      </c>
      <c r="CO91" s="195">
        <f>CN91</f>
        <v>134.83808711606451</v>
      </c>
      <c r="CP91" s="194">
        <f aca="true" t="shared" si="254" ref="CP91:DA91">CO91+CP86-CP89+CP87</f>
        <v>122.93344570446445</v>
      </c>
      <c r="CQ91" s="194">
        <f t="shared" si="254"/>
        <v>110.95936055129673</v>
      </c>
      <c r="CR91" s="194">
        <f t="shared" si="254"/>
        <v>98.91542656806885</v>
      </c>
      <c r="CS91" s="194">
        <f t="shared" si="254"/>
        <v>86.80123630327215</v>
      </c>
      <c r="CT91" s="194">
        <f t="shared" si="254"/>
        <v>74.61637992859747</v>
      </c>
      <c r="CU91" s="194">
        <f t="shared" si="254"/>
        <v>62.360445225070514</v>
      </c>
      <c r="CV91" s="194">
        <f t="shared" si="254"/>
        <v>50.03301756910632</v>
      </c>
      <c r="CW91" s="194">
        <f t="shared" si="254"/>
        <v>37.633679918482336</v>
      </c>
      <c r="CX91" s="194">
        <f t="shared" si="254"/>
        <v>25.16201279822971</v>
      </c>
      <c r="CY91" s="194">
        <f t="shared" si="254"/>
        <v>12.61759428644228</v>
      </c>
      <c r="CZ91" s="194">
        <f t="shared" si="254"/>
        <v>2.7569058147491887E-12</v>
      </c>
      <c r="DA91" s="194">
        <f t="shared" si="254"/>
        <v>2.7569058147491887E-12</v>
      </c>
      <c r="DB91" s="195">
        <f>DA91</f>
        <v>2.7569058147491887E-12</v>
      </c>
      <c r="DC91" s="194">
        <f aca="true" t="shared" si="255" ref="DC91:DN91">DB91+DC86-DC89+DC87</f>
        <v>2.7569058147491887E-12</v>
      </c>
      <c r="DD91" s="194">
        <f t="shared" si="255"/>
        <v>2.7569058147491887E-12</v>
      </c>
      <c r="DE91" s="194">
        <f t="shared" si="255"/>
        <v>2.7569058147491887E-12</v>
      </c>
      <c r="DF91" s="194">
        <f t="shared" si="255"/>
        <v>2.7569058147491887E-12</v>
      </c>
      <c r="DG91" s="194">
        <f t="shared" si="255"/>
        <v>2.7569058147491887E-12</v>
      </c>
      <c r="DH91" s="194">
        <f t="shared" si="255"/>
        <v>2.7569058147491887E-12</v>
      </c>
      <c r="DI91" s="194">
        <f t="shared" si="255"/>
        <v>2.7569058147491887E-12</v>
      </c>
      <c r="DJ91" s="194">
        <f t="shared" si="255"/>
        <v>2.7569058147491887E-12</v>
      </c>
      <c r="DK91" s="194">
        <f t="shared" si="255"/>
        <v>2.7569058147491887E-12</v>
      </c>
      <c r="DL91" s="194">
        <f t="shared" si="255"/>
        <v>2.7569058147491887E-12</v>
      </c>
      <c r="DM91" s="194">
        <f t="shared" si="255"/>
        <v>2.7569058147491887E-12</v>
      </c>
      <c r="DN91" s="194">
        <f t="shared" si="255"/>
        <v>2.7569058147491887E-12</v>
      </c>
      <c r="DO91" s="195">
        <f>DN91</f>
        <v>2.7569058147491887E-12</v>
      </c>
    </row>
    <row r="92" spans="1:119" ht="12.75">
      <c r="A92" s="177" t="s">
        <v>78</v>
      </c>
      <c r="B92" s="277">
        <f>Исх!$C$42*12-Исх!$C$43</f>
        <v>75</v>
      </c>
      <c r="CP92" s="180"/>
      <c r="DB92" s="177"/>
      <c r="DO92" s="177"/>
    </row>
    <row r="93" spans="1:119" ht="12.75">
      <c r="A93" s="280" t="s">
        <v>250</v>
      </c>
      <c r="B93" s="281">
        <f>$W$91*$B$20/12/((1-(1+$B$20/12)^-$B92))</f>
        <v>12.691196919777104</v>
      </c>
      <c r="DB93" s="177"/>
      <c r="DO93" s="177"/>
    </row>
    <row r="94" spans="1:119" ht="7.5" customHeight="1">
      <c r="A94" s="278"/>
      <c r="B94" s="275"/>
      <c r="DB94" s="177"/>
      <c r="DO94" s="177"/>
    </row>
    <row r="95" spans="1:119" ht="12.75">
      <c r="A95" s="263" t="s">
        <v>241</v>
      </c>
      <c r="DB95" s="177"/>
      <c r="DO95" s="177"/>
    </row>
    <row r="96" spans="1:119" ht="12.75" hidden="1" outlineLevel="1">
      <c r="A96" s="264">
        <f>B86+B87-B89</f>
        <v>2.8421709430404007E-12</v>
      </c>
      <c r="DB96" s="177"/>
      <c r="DO96" s="177"/>
    </row>
    <row r="97" spans="1:119" ht="12.75" hidden="1" outlineLevel="1">
      <c r="A97" s="264">
        <f>B88-B87-B90</f>
        <v>0</v>
      </c>
      <c r="DB97" s="177"/>
      <c r="DO97" s="177"/>
    </row>
    <row r="98" ht="12.75" collapsed="1"/>
  </sheetData>
  <sheetProtection/>
  <mergeCells count="54">
    <mergeCell ref="DC68:DO68"/>
    <mergeCell ref="C84:O84"/>
    <mergeCell ref="P84:AB84"/>
    <mergeCell ref="AC84:AO84"/>
    <mergeCell ref="AP84:BB84"/>
    <mergeCell ref="BC84:BO84"/>
    <mergeCell ref="BP84:CB84"/>
    <mergeCell ref="CC84:CO84"/>
    <mergeCell ref="CP84:DB84"/>
    <mergeCell ref="DC84:DO84"/>
    <mergeCell ref="CP52:DB52"/>
    <mergeCell ref="DC52:DO52"/>
    <mergeCell ref="C68:O68"/>
    <mergeCell ref="P68:AB68"/>
    <mergeCell ref="AC68:AO68"/>
    <mergeCell ref="AP68:BB68"/>
    <mergeCell ref="BC68:BO68"/>
    <mergeCell ref="BP68:CB68"/>
    <mergeCell ref="CC68:CO68"/>
    <mergeCell ref="CP68:DB68"/>
    <mergeCell ref="CC36:CO36"/>
    <mergeCell ref="CP36:DB36"/>
    <mergeCell ref="DC36:DO36"/>
    <mergeCell ref="C52:O52"/>
    <mergeCell ref="P52:AB52"/>
    <mergeCell ref="AC52:AO52"/>
    <mergeCell ref="AP52:BB52"/>
    <mergeCell ref="BC52:BO52"/>
    <mergeCell ref="BP52:CB52"/>
    <mergeCell ref="CC52:CO52"/>
    <mergeCell ref="C36:O36"/>
    <mergeCell ref="P36:AB36"/>
    <mergeCell ref="AC36:AO36"/>
    <mergeCell ref="AP36:BB36"/>
    <mergeCell ref="BC36:BO36"/>
    <mergeCell ref="BP36:CB36"/>
    <mergeCell ref="DC20:DO20"/>
    <mergeCell ref="CP5:DB5"/>
    <mergeCell ref="DC5:DO5"/>
    <mergeCell ref="C20:O20"/>
    <mergeCell ref="P20:AB20"/>
    <mergeCell ref="AC20:AO20"/>
    <mergeCell ref="AP20:BB20"/>
    <mergeCell ref="BC20:BO20"/>
    <mergeCell ref="BP20:CB20"/>
    <mergeCell ref="CC20:CO20"/>
    <mergeCell ref="CP20:DB20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9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S27"/>
  <sheetViews>
    <sheetView showGridLine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16" sqref="S16"/>
    </sheetView>
  </sheetViews>
  <sheetFormatPr defaultColWidth="8.875" defaultRowHeight="12.75" outlineLevelRow="1" outlineLevelCol="1"/>
  <cols>
    <col min="1" max="1" width="35.75390625" style="78" customWidth="1"/>
    <col min="2" max="2" width="8.75390625" style="78" customWidth="1"/>
    <col min="3" max="3" width="8.00390625" style="78" customWidth="1"/>
    <col min="4" max="4" width="10.00390625" style="78" customWidth="1"/>
    <col min="5" max="11" width="4.75390625" style="78" customWidth="1" outlineLevel="1"/>
    <col min="12" max="12" width="6.625" style="78" bestFit="1" customWidth="1" outlineLevel="1"/>
    <col min="13" max="13" width="6.375" style="78" customWidth="1" outlineLevel="1"/>
    <col min="14" max="16" width="7.625" style="78" bestFit="1" customWidth="1" outlineLevel="1"/>
    <col min="17" max="17" width="10.125" style="78" customWidth="1"/>
    <col min="18" max="18" width="9.875" style="78" customWidth="1"/>
    <col min="19" max="19" width="16.00390625" style="78" customWidth="1"/>
    <col min="20" max="20" width="12.875" style="78" bestFit="1" customWidth="1"/>
    <col min="21" max="16384" width="8.875" style="78" customWidth="1"/>
  </cols>
  <sheetData>
    <row r="1" ht="8.25" customHeight="1"/>
    <row r="2" spans="1:19" ht="12.75">
      <c r="A2" s="62" t="s">
        <v>255</v>
      </c>
      <c r="B2" s="173"/>
      <c r="Q2" s="147"/>
      <c r="R2" s="201"/>
      <c r="S2" s="171"/>
    </row>
    <row r="3" spans="1:19" ht="17.25" customHeight="1">
      <c r="A3" s="372" t="s">
        <v>185</v>
      </c>
      <c r="B3" s="373" t="s">
        <v>155</v>
      </c>
      <c r="C3" s="373" t="s">
        <v>156</v>
      </c>
      <c r="D3" s="374" t="s">
        <v>189</v>
      </c>
      <c r="E3" s="327">
        <v>2013</v>
      </c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9"/>
      <c r="Q3" s="91" t="s">
        <v>0</v>
      </c>
      <c r="R3" s="201"/>
      <c r="S3" s="202"/>
    </row>
    <row r="4" spans="1:17" ht="12.75">
      <c r="A4" s="372"/>
      <c r="B4" s="373"/>
      <c r="C4" s="373"/>
      <c r="D4" s="374"/>
      <c r="E4" s="203">
        <v>1</v>
      </c>
      <c r="F4" s="203">
        <v>2</v>
      </c>
      <c r="G4" s="203">
        <v>3</v>
      </c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93">
        <v>2013</v>
      </c>
    </row>
    <row r="5" spans="1:19" s="62" customFormat="1" ht="12.75">
      <c r="A5" s="204" t="s">
        <v>184</v>
      </c>
      <c r="B5" s="205"/>
      <c r="C5" s="205"/>
      <c r="D5" s="144">
        <f aca="true" t="shared" si="0" ref="D5:Q5">SUM(D6:D8)</f>
        <v>9171</v>
      </c>
      <c r="E5" s="144">
        <f t="shared" si="0"/>
        <v>0</v>
      </c>
      <c r="F5" s="144">
        <f t="shared" si="0"/>
        <v>0</v>
      </c>
      <c r="G5" s="144">
        <f t="shared" si="0"/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9171</v>
      </c>
      <c r="O5" s="144">
        <f t="shared" si="0"/>
        <v>0</v>
      </c>
      <c r="P5" s="144">
        <f t="shared" si="0"/>
        <v>0</v>
      </c>
      <c r="Q5" s="144">
        <f t="shared" si="0"/>
        <v>9171</v>
      </c>
      <c r="S5" s="78"/>
    </row>
    <row r="6" spans="1:17" ht="12.75" outlineLevel="1">
      <c r="A6" s="250" t="s">
        <v>345</v>
      </c>
      <c r="B6" s="242">
        <v>50</v>
      </c>
      <c r="C6" s="242">
        <f>1200*Исх!$C$5/1000</f>
        <v>183.42</v>
      </c>
      <c r="D6" s="154">
        <f>B6*C6</f>
        <v>9171</v>
      </c>
      <c r="E6" s="154"/>
      <c r="F6" s="154"/>
      <c r="G6" s="154"/>
      <c r="H6" s="154"/>
      <c r="I6" s="154"/>
      <c r="J6" s="154"/>
      <c r="K6" s="154"/>
      <c r="L6" s="154"/>
      <c r="M6" s="154"/>
      <c r="N6" s="154">
        <f>D6</f>
        <v>9171</v>
      </c>
      <c r="O6" s="154"/>
      <c r="P6" s="154"/>
      <c r="Q6" s="155">
        <f>SUM(E6:P6)</f>
        <v>9171</v>
      </c>
    </row>
    <row r="7" spans="1:17" ht="12.75" outlineLevel="1">
      <c r="A7" s="250"/>
      <c r="B7" s="242"/>
      <c r="C7" s="242"/>
      <c r="D7" s="154">
        <f>B7*C7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>
        <f>SUM(E7:P7)</f>
        <v>0</v>
      </c>
    </row>
    <row r="8" spans="1:17" ht="12.75" outlineLevel="1">
      <c r="A8" s="250"/>
      <c r="B8" s="84"/>
      <c r="C8" s="145"/>
      <c r="D8" s="154">
        <f>B8*C8</f>
        <v>0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5">
        <f>SUM(E8:P8)</f>
        <v>0</v>
      </c>
    </row>
    <row r="9" spans="1:17" ht="12.75">
      <c r="A9" s="204" t="s">
        <v>105</v>
      </c>
      <c r="B9" s="205"/>
      <c r="C9" s="205"/>
      <c r="D9" s="144">
        <f aca="true" t="shared" si="1" ref="D9:Q9">SUM(D10:D11)</f>
        <v>1486.2848000000001</v>
      </c>
      <c r="E9" s="144">
        <f t="shared" si="1"/>
        <v>0</v>
      </c>
      <c r="F9" s="144">
        <f t="shared" si="1"/>
        <v>0</v>
      </c>
      <c r="G9" s="144">
        <f t="shared" si="1"/>
        <v>0</v>
      </c>
      <c r="H9" s="144">
        <f t="shared" si="1"/>
        <v>0</v>
      </c>
      <c r="I9" s="144">
        <f t="shared" si="1"/>
        <v>0</v>
      </c>
      <c r="J9" s="144">
        <f t="shared" si="1"/>
        <v>0</v>
      </c>
      <c r="K9" s="144">
        <f t="shared" si="1"/>
        <v>0</v>
      </c>
      <c r="L9" s="144">
        <f t="shared" si="1"/>
        <v>0</v>
      </c>
      <c r="M9" s="144">
        <f t="shared" si="1"/>
        <v>0</v>
      </c>
      <c r="N9" s="144">
        <f t="shared" si="1"/>
        <v>743.1424000000001</v>
      </c>
      <c r="O9" s="144">
        <f t="shared" si="1"/>
        <v>743.1424000000001</v>
      </c>
      <c r="P9" s="144">
        <f t="shared" si="1"/>
        <v>0</v>
      </c>
      <c r="Q9" s="144">
        <f t="shared" si="1"/>
        <v>1486.2848000000001</v>
      </c>
    </row>
    <row r="10" spans="1:19" ht="25.5" outlineLevel="1">
      <c r="A10" s="250" t="s">
        <v>344</v>
      </c>
      <c r="B10" s="145">
        <v>1</v>
      </c>
      <c r="C10" s="145">
        <f>260*Исх!$C$7*1.1*Исх!$C$19</f>
        <v>1486.2848000000001</v>
      </c>
      <c r="D10" s="154">
        <f>B10*C10</f>
        <v>1486.2848000000001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>
        <f>$D10/2</f>
        <v>743.1424000000001</v>
      </c>
      <c r="O10" s="154">
        <f>$D10/2</f>
        <v>743.1424000000001</v>
      </c>
      <c r="P10" s="154"/>
      <c r="Q10" s="155">
        <f>SUM(E10:P10)</f>
        <v>1486.2848000000001</v>
      </c>
      <c r="S10" s="283" t="s">
        <v>354</v>
      </c>
    </row>
    <row r="11" spans="1:17" ht="12.75" outlineLevel="1">
      <c r="A11" s="250"/>
      <c r="B11" s="145"/>
      <c r="C11" s="145"/>
      <c r="D11" s="154">
        <f>B11*C11</f>
        <v>0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>
        <f>SUM(E11:P11)</f>
        <v>0</v>
      </c>
    </row>
    <row r="12" spans="1:17" ht="12.75">
      <c r="A12" s="204" t="s">
        <v>190</v>
      </c>
      <c r="B12" s="205"/>
      <c r="C12" s="205"/>
      <c r="D12" s="144">
        <f aca="true" t="shared" si="2" ref="D12:Q12">SUM(D13:D14)</f>
        <v>0</v>
      </c>
      <c r="E12" s="144">
        <f t="shared" si="2"/>
        <v>0</v>
      </c>
      <c r="F12" s="144">
        <f t="shared" si="2"/>
        <v>0</v>
      </c>
      <c r="G12" s="144">
        <f t="shared" si="2"/>
        <v>0</v>
      </c>
      <c r="H12" s="144">
        <f t="shared" si="2"/>
        <v>0</v>
      </c>
      <c r="I12" s="144">
        <f t="shared" si="2"/>
        <v>0</v>
      </c>
      <c r="J12" s="144">
        <f t="shared" si="2"/>
        <v>0</v>
      </c>
      <c r="K12" s="144">
        <f t="shared" si="2"/>
        <v>0</v>
      </c>
      <c r="L12" s="144">
        <f t="shared" si="2"/>
        <v>0</v>
      </c>
      <c r="M12" s="144">
        <f t="shared" si="2"/>
        <v>0</v>
      </c>
      <c r="N12" s="144">
        <f t="shared" si="2"/>
        <v>0</v>
      </c>
      <c r="O12" s="144">
        <f t="shared" si="2"/>
        <v>0</v>
      </c>
      <c r="P12" s="144">
        <f t="shared" si="2"/>
        <v>0</v>
      </c>
      <c r="Q12" s="144">
        <f t="shared" si="2"/>
        <v>0</v>
      </c>
    </row>
    <row r="13" spans="1:17" ht="12.75" outlineLevel="1">
      <c r="A13" s="272"/>
      <c r="B13" s="145"/>
      <c r="C13" s="145"/>
      <c r="D13" s="154">
        <f>B13*C13</f>
        <v>0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>
        <f>SUM(E13:P13)</f>
        <v>0</v>
      </c>
    </row>
    <row r="14" spans="1:17" ht="12.75" hidden="1" outlineLevel="1">
      <c r="A14" s="272"/>
      <c r="B14" s="145"/>
      <c r="C14" s="145"/>
      <c r="D14" s="154">
        <f>B14*C14</f>
        <v>0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>
        <f>SUM(E14:P14)</f>
        <v>0</v>
      </c>
    </row>
    <row r="15" spans="1:17" ht="12.75" collapsed="1">
      <c r="A15" s="141" t="s">
        <v>0</v>
      </c>
      <c r="B15" s="168"/>
      <c r="C15" s="168"/>
      <c r="D15" s="168">
        <f aca="true" t="shared" si="3" ref="D15:Q15">D5+D9+D12</f>
        <v>10657.2848</v>
      </c>
      <c r="E15" s="168">
        <f t="shared" si="3"/>
        <v>0</v>
      </c>
      <c r="F15" s="168">
        <f t="shared" si="3"/>
        <v>0</v>
      </c>
      <c r="G15" s="168">
        <f t="shared" si="3"/>
        <v>0</v>
      </c>
      <c r="H15" s="168">
        <f t="shared" si="3"/>
        <v>0</v>
      </c>
      <c r="I15" s="168">
        <f t="shared" si="3"/>
        <v>0</v>
      </c>
      <c r="J15" s="168">
        <f t="shared" si="3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9914.1424</v>
      </c>
      <c r="O15" s="168">
        <f t="shared" si="3"/>
        <v>743.1424000000001</v>
      </c>
      <c r="P15" s="168">
        <f t="shared" si="3"/>
        <v>0</v>
      </c>
      <c r="Q15" s="168">
        <f t="shared" si="3"/>
        <v>10657.2848</v>
      </c>
    </row>
    <row r="16" ht="12.75">
      <c r="D16" s="201">
        <f>D15-Q15</f>
        <v>0</v>
      </c>
    </row>
    <row r="17" spans="2:4" ht="12.75">
      <c r="B17" s="147" t="s">
        <v>59</v>
      </c>
      <c r="C17" s="201" t="s">
        <v>43</v>
      </c>
      <c r="D17" s="206" t="s">
        <v>98</v>
      </c>
    </row>
    <row r="18" spans="1:4" ht="12.75">
      <c r="A18" s="78" t="s">
        <v>109</v>
      </c>
      <c r="B18" s="201">
        <f>D5</f>
        <v>9171</v>
      </c>
      <c r="C18" s="201">
        <f>B18/Исх!$C$19</f>
        <v>8188.392857142856</v>
      </c>
      <c r="D18" s="169">
        <f>B18/Исх!$C$5</f>
        <v>60</v>
      </c>
    </row>
    <row r="19" spans="1:4" ht="12.75">
      <c r="A19" s="78" t="s">
        <v>105</v>
      </c>
      <c r="B19" s="201">
        <f>D9</f>
        <v>1486.2848000000001</v>
      </c>
      <c r="C19" s="201">
        <f>B19/Исх!$C$19</f>
        <v>1327.04</v>
      </c>
      <c r="D19" s="169">
        <f>B19/Исх!$C$5</f>
        <v>9.723812888452732</v>
      </c>
    </row>
    <row r="20" spans="1:12" ht="12.75">
      <c r="A20" s="78" t="s">
        <v>190</v>
      </c>
      <c r="B20" s="201">
        <f>D12</f>
        <v>0</v>
      </c>
      <c r="C20" s="201">
        <f>B20/Исх!$C$19</f>
        <v>0</v>
      </c>
      <c r="D20" s="169">
        <f>B20/Исх!$C$5</f>
        <v>0</v>
      </c>
      <c r="L20" s="173"/>
    </row>
    <row r="21" spans="1:4" ht="12.75">
      <c r="A21" s="62" t="s">
        <v>89</v>
      </c>
      <c r="B21" s="207">
        <f>SUM(B18:B20)</f>
        <v>10657.2848</v>
      </c>
      <c r="C21" s="207">
        <f>SUM(C18:C20)</f>
        <v>9515.432857142856</v>
      </c>
      <c r="D21" s="207">
        <f>SUM(D18:D20)</f>
        <v>69.72381288845273</v>
      </c>
    </row>
    <row r="24" spans="1:17" ht="12.75">
      <c r="A24" s="78" t="s">
        <v>249</v>
      </c>
      <c r="D24" s="201">
        <f>Q24</f>
        <v>0</v>
      </c>
      <c r="L24" s="201">
        <f>K24+L5</f>
        <v>0</v>
      </c>
      <c r="M24" s="201">
        <f>L24+M5</f>
        <v>0</v>
      </c>
      <c r="N24" s="201">
        <f>M24+N5</f>
        <v>9171</v>
      </c>
      <c r="O24" s="201">
        <f>N24+O5</f>
        <v>9171</v>
      </c>
      <c r="Q24" s="201">
        <f>P24</f>
        <v>0</v>
      </c>
    </row>
    <row r="25" spans="1:17" ht="12.75">
      <c r="A25" s="78" t="s">
        <v>268</v>
      </c>
      <c r="D25" s="201">
        <f>Q25</f>
        <v>0</v>
      </c>
      <c r="L25" s="201">
        <f>K25+L9</f>
        <v>0</v>
      </c>
      <c r="M25" s="201">
        <f>L25+M9</f>
        <v>0</v>
      </c>
      <c r="N25" s="201">
        <f>M25+N9</f>
        <v>743.1424000000001</v>
      </c>
      <c r="O25" s="201">
        <f>N25+O9</f>
        <v>1486.2848000000001</v>
      </c>
      <c r="Q25" s="201">
        <f>P25</f>
        <v>0</v>
      </c>
    </row>
    <row r="26" spans="1:17" ht="12.75">
      <c r="A26" s="78" t="s">
        <v>269</v>
      </c>
      <c r="D26" s="201">
        <f>Q26</f>
        <v>10657.2848</v>
      </c>
      <c r="O26" s="201"/>
      <c r="P26" s="201">
        <f>D5+D9+D12</f>
        <v>10657.2848</v>
      </c>
      <c r="Q26" s="201">
        <f>SUM(E26:P26)</f>
        <v>10657.2848</v>
      </c>
    </row>
    <row r="27" spans="1:17" ht="12.75">
      <c r="A27" s="78" t="s">
        <v>305</v>
      </c>
      <c r="D27" s="201">
        <f>D26/Исх!$C$19</f>
        <v>9515.432857142856</v>
      </c>
      <c r="P27" s="201">
        <f>P26/Исх!$C$19</f>
        <v>9515.432857142856</v>
      </c>
      <c r="Q27" s="201">
        <f>Q26/Исх!$C$19</f>
        <v>9515.432857142856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S10" r:id="rId1" display="http://www.aquarella.ru/lkm/lr-130.html"/>
  </hyperlinks>
  <printOptions/>
  <pageMargins left="0.3" right="0.2362204724409449" top="0.7086614173228347" bottom="0.2755905511811024" header="0.5118110236220472" footer="0.1968503937007874"/>
  <pageSetup horizontalDpi="600" verticalDpi="600" orientation="landscape" paperSize="9" scale="96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8" customWidth="1"/>
    <col min="2" max="2" width="7.875" style="78" hidden="1" customWidth="1"/>
    <col min="3" max="3" width="9.75390625" style="78" customWidth="1"/>
    <col min="4" max="16384" width="9.125" style="78" customWidth="1"/>
  </cols>
  <sheetData>
    <row r="1" spans="1:6" ht="12.75">
      <c r="A1" s="62" t="s">
        <v>74</v>
      </c>
      <c r="B1" s="62"/>
      <c r="C1" s="62"/>
      <c r="D1" s="62"/>
      <c r="E1" s="62"/>
      <c r="F1" s="62"/>
    </row>
    <row r="2" spans="1:9" ht="12.75">
      <c r="A2" s="208"/>
      <c r="B2" s="208"/>
      <c r="C2" s="208"/>
      <c r="D2" s="208"/>
      <c r="E2" s="208"/>
      <c r="F2" s="208"/>
      <c r="I2" s="147" t="str">
        <f>Исх!C10</f>
        <v>тыс.тг.</v>
      </c>
    </row>
    <row r="3" spans="1:9" ht="12.75">
      <c r="A3" s="217" t="s">
        <v>9</v>
      </c>
      <c r="B3" s="233">
        <v>2013</v>
      </c>
      <c r="C3" s="233">
        <f aca="true" t="shared" si="0" ref="C3:H3">B3+1</f>
        <v>2014</v>
      </c>
      <c r="D3" s="233">
        <f t="shared" si="0"/>
        <v>2015</v>
      </c>
      <c r="E3" s="233">
        <f t="shared" si="0"/>
        <v>2016</v>
      </c>
      <c r="F3" s="233">
        <f t="shared" si="0"/>
        <v>2017</v>
      </c>
      <c r="G3" s="233">
        <f t="shared" si="0"/>
        <v>2018</v>
      </c>
      <c r="H3" s="233">
        <f t="shared" si="0"/>
        <v>2019</v>
      </c>
      <c r="I3" s="233">
        <f>H3+1</f>
        <v>2020</v>
      </c>
    </row>
    <row r="4" spans="1:9" ht="12.75">
      <c r="A4" s="209" t="s">
        <v>356</v>
      </c>
      <c r="B4" s="210">
        <f>'2-ф2'!P5</f>
        <v>0</v>
      </c>
      <c r="C4" s="210">
        <f>'2-ф2'!AC5</f>
        <v>27011.069196428565</v>
      </c>
      <c r="D4" s="210">
        <f>'2-ф2'!AP5</f>
        <v>34771.98214285714</v>
      </c>
      <c r="E4" s="210">
        <f>'2-ф2'!AQ5</f>
        <v>39696.428571428565</v>
      </c>
      <c r="F4" s="210">
        <f>'2-ф2'!AR5</f>
        <v>41785.71428571428</v>
      </c>
      <c r="G4" s="210">
        <f>'2-ф2'!AS5</f>
        <v>41785.71428571428</v>
      </c>
      <c r="H4" s="210">
        <f>'2-ф2'!AT5</f>
        <v>41785.71428571428</v>
      </c>
      <c r="I4" s="210">
        <f>'2-ф2'!AU5</f>
        <v>41785.71428571428</v>
      </c>
    </row>
    <row r="5" spans="1:9" ht="12.75">
      <c r="A5" s="209" t="s">
        <v>90</v>
      </c>
      <c r="B5" s="211">
        <f aca="true" t="shared" si="1" ref="B5:H5">B4-B6</f>
        <v>-119.99999200000002</v>
      </c>
      <c r="C5" s="211">
        <f t="shared" si="1"/>
        <v>650.0022131297737</v>
      </c>
      <c r="D5" s="211">
        <f t="shared" si="1"/>
        <v>3960.7702999065514</v>
      </c>
      <c r="E5" s="211">
        <f t="shared" si="1"/>
        <v>5895.8375589609495</v>
      </c>
      <c r="F5" s="211">
        <f t="shared" si="1"/>
        <v>6433.540192375309</v>
      </c>
      <c r="G5" s="211">
        <f t="shared" si="1"/>
        <v>5937.527110392788</v>
      </c>
      <c r="H5" s="211">
        <f t="shared" si="1"/>
        <v>5419.084030307829</v>
      </c>
      <c r="I5" s="211">
        <f>I4-I6</f>
        <v>4876.302775425938</v>
      </c>
    </row>
    <row r="6" spans="1:9" ht="12.75">
      <c r="A6" s="209" t="s">
        <v>357</v>
      </c>
      <c r="B6" s="212">
        <f aca="true" t="shared" si="2" ref="B6:H6">SUM(B7:B8)</f>
        <v>119.99999200000002</v>
      </c>
      <c r="C6" s="212">
        <f t="shared" si="2"/>
        <v>26361.06698329879</v>
      </c>
      <c r="D6" s="212">
        <f t="shared" si="2"/>
        <v>30811.211842950586</v>
      </c>
      <c r="E6" s="212">
        <f t="shared" si="2"/>
        <v>33800.591012467616</v>
      </c>
      <c r="F6" s="212">
        <f t="shared" si="2"/>
        <v>35352.174093338974</v>
      </c>
      <c r="G6" s="212">
        <f t="shared" si="2"/>
        <v>35848.187175321495</v>
      </c>
      <c r="H6" s="212">
        <f t="shared" si="2"/>
        <v>36366.63025540645</v>
      </c>
      <c r="I6" s="212">
        <f>SUM(I7:I8)</f>
        <v>36909.411510288344</v>
      </c>
    </row>
    <row r="7" spans="1:9" ht="12.75">
      <c r="A7" s="209" t="s">
        <v>91</v>
      </c>
      <c r="B7" s="210">
        <f>'2-ф2'!P13+'2-ф2'!P12+'2-ф2'!P11</f>
        <v>119.99999200000002</v>
      </c>
      <c r="C7" s="210">
        <f>'2-ф2'!AC13+'2-ф2'!AC12+'2-ф2'!AC11</f>
        <v>12550.273504698791</v>
      </c>
      <c r="D7" s="210">
        <f>'2-ф2'!AP13+'2-ф2'!AP12+'2-ф2'!AP11</f>
        <v>13032.253863750593</v>
      </c>
      <c r="E7" s="210">
        <f>'2-ф2'!AQ13+'2-ф2'!AQ12+'2-ф2'!AQ11</f>
        <v>13503.757412467621</v>
      </c>
      <c r="F7" s="210">
        <f>'2-ф2'!AR13+'2-ф2'!AR12+'2-ф2'!AR11</f>
        <v>13987.086093338978</v>
      </c>
      <c r="G7" s="210">
        <f>'2-ф2'!AS13+'2-ф2'!AS12+'2-ф2'!AS11</f>
        <v>14483.0991753215</v>
      </c>
      <c r="H7" s="210">
        <f>'2-ф2'!AT13+'2-ф2'!AT12+'2-ф2'!AT11</f>
        <v>15001.542255406455</v>
      </c>
      <c r="I7" s="210">
        <f>'2-ф2'!AU13+'2-ф2'!AU12+'2-ф2'!AU11</f>
        <v>15544.323510288346</v>
      </c>
    </row>
    <row r="8" spans="1:9" ht="12.75">
      <c r="A8" s="209" t="s">
        <v>92</v>
      </c>
      <c r="B8" s="210">
        <f>'2-ф2'!P8</f>
        <v>0</v>
      </c>
      <c r="C8" s="210">
        <f>'2-ф2'!AC8</f>
        <v>13810.793478599999</v>
      </c>
      <c r="D8" s="210">
        <f>'2-ф2'!AP8</f>
        <v>17778.957979199993</v>
      </c>
      <c r="E8" s="210">
        <f>'2-ф2'!AQ8</f>
        <v>20296.833599999998</v>
      </c>
      <c r="F8" s="210">
        <f>'2-ф2'!AR8</f>
        <v>21365.087999999996</v>
      </c>
      <c r="G8" s="210">
        <f>'2-ф2'!AS8</f>
        <v>21365.087999999996</v>
      </c>
      <c r="H8" s="210">
        <f>'2-ф2'!AT8</f>
        <v>21365.087999999996</v>
      </c>
      <c r="I8" s="210">
        <f>'2-ф2'!AU8</f>
        <v>21365.087999999996</v>
      </c>
    </row>
    <row r="9" spans="1:9" ht="12.75">
      <c r="A9" s="209" t="s">
        <v>93</v>
      </c>
      <c r="B9" s="212">
        <f aca="true" t="shared" si="3" ref="B9:H9">B4-B8</f>
        <v>0</v>
      </c>
      <c r="C9" s="212">
        <f t="shared" si="3"/>
        <v>13200.275717828566</v>
      </c>
      <c r="D9" s="212">
        <f t="shared" si="3"/>
        <v>16993.024163657145</v>
      </c>
      <c r="E9" s="212">
        <f t="shared" si="3"/>
        <v>19399.594971428567</v>
      </c>
      <c r="F9" s="212">
        <f t="shared" si="3"/>
        <v>20420.626285714286</v>
      </c>
      <c r="G9" s="212">
        <f t="shared" si="3"/>
        <v>20420.626285714286</v>
      </c>
      <c r="H9" s="212">
        <f t="shared" si="3"/>
        <v>20420.626285714286</v>
      </c>
      <c r="I9" s="212">
        <f>I4-I8</f>
        <v>20420.626285714286</v>
      </c>
    </row>
    <row r="10" spans="1:9" ht="12.75">
      <c r="A10" s="209" t="s">
        <v>75</v>
      </c>
      <c r="B10" s="213" t="e">
        <f aca="true" t="shared" si="4" ref="B10:H10">B9/B4</f>
        <v>#DIV/0!</v>
      </c>
      <c r="C10" s="213">
        <f t="shared" si="4"/>
        <v>0.48869874871794866</v>
      </c>
      <c r="D10" s="213">
        <f t="shared" si="4"/>
        <v>0.4886987487179488</v>
      </c>
      <c r="E10" s="213">
        <f t="shared" si="4"/>
        <v>0.48869874871794866</v>
      </c>
      <c r="F10" s="213">
        <f t="shared" si="4"/>
        <v>0.48869874871794877</v>
      </c>
      <c r="G10" s="213">
        <f t="shared" si="4"/>
        <v>0.48869874871794877</v>
      </c>
      <c r="H10" s="213">
        <f t="shared" si="4"/>
        <v>0.48869874871794877</v>
      </c>
      <c r="I10" s="213">
        <f>I9/I4</f>
        <v>0.48869874871794877</v>
      </c>
    </row>
    <row r="11" spans="1:9" ht="12.75">
      <c r="A11" s="209" t="s">
        <v>94</v>
      </c>
      <c r="B11" s="212" t="e">
        <f aca="true" t="shared" si="5" ref="B11:H11">B7/B10</f>
        <v>#DIV/0!</v>
      </c>
      <c r="C11" s="212">
        <f t="shared" si="5"/>
        <v>25681.001921169543</v>
      </c>
      <c r="D11" s="212">
        <f>D7/D10</f>
        <v>26667.2544137659</v>
      </c>
      <c r="E11" s="212">
        <f t="shared" si="5"/>
        <v>27632.068729239334</v>
      </c>
      <c r="F11" s="212">
        <f t="shared" si="5"/>
        <v>28621.080225870577</v>
      </c>
      <c r="G11" s="212">
        <f t="shared" si="5"/>
        <v>29636.047183088624</v>
      </c>
      <c r="H11" s="212">
        <f t="shared" si="5"/>
        <v>30696.911532434795</v>
      </c>
      <c r="I11" s="212">
        <f>I7/I10</f>
        <v>31807.577881194276</v>
      </c>
    </row>
    <row r="12" spans="1:9" ht="25.5">
      <c r="A12" s="214" t="s">
        <v>76</v>
      </c>
      <c r="B12" s="215" t="e">
        <f aca="true" t="shared" si="6" ref="B12:H12">(B4-B11)/B4</f>
        <v>#DIV/0!</v>
      </c>
      <c r="C12" s="215">
        <f t="shared" si="6"/>
        <v>0.049241563360064425</v>
      </c>
      <c r="D12" s="215">
        <f>(D4-D11)/D4</f>
        <v>0.23308213192431174</v>
      </c>
      <c r="E12" s="215">
        <f t="shared" si="6"/>
        <v>0.30391549759900904</v>
      </c>
      <c r="F12" s="215">
        <f t="shared" si="6"/>
        <v>0.3150510715176272</v>
      </c>
      <c r="G12" s="215">
        <f t="shared" si="6"/>
        <v>0.29076126399446023</v>
      </c>
      <c r="H12" s="215">
        <f t="shared" si="6"/>
        <v>0.26537305734344074</v>
      </c>
      <c r="I12" s="215">
        <f>(I4-I11)/I4</f>
        <v>0.23879300797141897</v>
      </c>
    </row>
    <row r="13" spans="1:9" ht="12.75">
      <c r="A13" s="209" t="s">
        <v>103</v>
      </c>
      <c r="B13" s="216" t="e">
        <f aca="true" t="shared" si="7" ref="B13:H13">100%-B12</f>
        <v>#DIV/0!</v>
      </c>
      <c r="C13" s="216">
        <f t="shared" si="7"/>
        <v>0.9507584366399355</v>
      </c>
      <c r="D13" s="216">
        <f t="shared" si="7"/>
        <v>0.7669178680756883</v>
      </c>
      <c r="E13" s="216">
        <f t="shared" si="7"/>
        <v>0.696084502400991</v>
      </c>
      <c r="F13" s="216">
        <f t="shared" si="7"/>
        <v>0.6849489284823729</v>
      </c>
      <c r="G13" s="216">
        <f t="shared" si="7"/>
        <v>0.7092387360055398</v>
      </c>
      <c r="H13" s="216">
        <f t="shared" si="7"/>
        <v>0.7346269426565593</v>
      </c>
      <c r="I13" s="216">
        <f>100%-I12</f>
        <v>0.761206992028581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7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A23" sqref="A23"/>
    </sheetView>
  </sheetViews>
  <sheetFormatPr defaultColWidth="9.00390625" defaultRowHeight="12.75"/>
  <cols>
    <col min="1" max="1" width="49.75390625" style="72" customWidth="1"/>
    <col min="2" max="2" width="16.875" style="73" customWidth="1"/>
    <col min="3" max="3" width="12.75390625" style="71" customWidth="1"/>
    <col min="4" max="4" width="8.625" style="71" customWidth="1"/>
    <col min="5" max="8" width="9.125" style="71" customWidth="1"/>
    <col min="9" max="9" width="7.625" style="71" bestFit="1" customWidth="1"/>
    <col min="10" max="10" width="7.125" style="71" customWidth="1"/>
    <col min="11" max="11" width="6.625" style="71" customWidth="1"/>
    <col min="12" max="16384" width="9.125" style="71" customWidth="1"/>
  </cols>
  <sheetData>
    <row r="1" ht="13.5" customHeight="1">
      <c r="A1" s="229" t="s">
        <v>275</v>
      </c>
    </row>
    <row r="2" ht="13.5" customHeight="1">
      <c r="A2" s="229" t="s">
        <v>349</v>
      </c>
    </row>
    <row r="3" ht="13.5" customHeight="1"/>
    <row r="4" spans="1:3" ht="13.5" customHeight="1">
      <c r="A4" s="224" t="s">
        <v>204</v>
      </c>
      <c r="B4" s="251" t="s">
        <v>290</v>
      </c>
      <c r="C4" s="251" t="s">
        <v>168</v>
      </c>
    </row>
    <row r="5" spans="1:3" ht="13.5" customHeight="1">
      <c r="A5" s="220" t="s">
        <v>316</v>
      </c>
      <c r="B5" s="221">
        <f>'1-Ф3'!B21</f>
        <v>10657.284800000001</v>
      </c>
      <c r="C5" s="226">
        <f>B5/$B$7</f>
        <v>0.8170798653353675</v>
      </c>
    </row>
    <row r="6" spans="1:3" ht="13.5" customHeight="1">
      <c r="A6" s="220" t="s">
        <v>167</v>
      </c>
      <c r="B6" s="221">
        <f>'1-Ф3'!B27-'1-Ф3'!B21</f>
        <v>2385.8524159999997</v>
      </c>
      <c r="C6" s="226">
        <f>B6/$B$7</f>
        <v>0.18292013466463247</v>
      </c>
    </row>
    <row r="7" spans="1:3" ht="13.5" customHeight="1">
      <c r="A7" s="222" t="s">
        <v>89</v>
      </c>
      <c r="B7" s="223">
        <f>SUM(B5:B6)</f>
        <v>13043.137216000001</v>
      </c>
      <c r="C7" s="227">
        <f>SUM(C5:C6)</f>
        <v>1</v>
      </c>
    </row>
    <row r="8" spans="1:2" ht="13.5" customHeight="1">
      <c r="A8" s="74"/>
      <c r="B8" s="75"/>
    </row>
    <row r="9" spans="1:3" ht="13.5" customHeight="1">
      <c r="A9" s="224" t="s">
        <v>205</v>
      </c>
      <c r="B9" s="251" t="str">
        <f>B4</f>
        <v>2013 год</v>
      </c>
      <c r="C9" s="225" t="s">
        <v>168</v>
      </c>
    </row>
    <row r="10" spans="1:12" ht="12.75">
      <c r="A10" s="220" t="s">
        <v>315</v>
      </c>
      <c r="B10" s="221">
        <f>'1-Ф3'!B28</f>
        <v>2385.8524159999997</v>
      </c>
      <c r="C10" s="226">
        <f>B10/$B$12</f>
        <v>0.18292013466463247</v>
      </c>
      <c r="K10" s="292">
        <f>B10/Исх!$C$5</f>
        <v>15.609109689237814</v>
      </c>
      <c r="L10" s="293" t="s">
        <v>98</v>
      </c>
    </row>
    <row r="11" spans="1:12" ht="13.5" customHeight="1">
      <c r="A11" s="220" t="s">
        <v>104</v>
      </c>
      <c r="B11" s="221">
        <f>'1-Ф3'!B29</f>
        <v>10657.284800000001</v>
      </c>
      <c r="C11" s="226">
        <f>B11/$B$12</f>
        <v>0.8170798653353675</v>
      </c>
      <c r="K11" s="292">
        <f>B11/Исх!$C$5</f>
        <v>69.72381288845274</v>
      </c>
      <c r="L11" s="293" t="s">
        <v>98</v>
      </c>
    </row>
    <row r="12" spans="1:3" ht="12.75">
      <c r="A12" s="222" t="s">
        <v>89</v>
      </c>
      <c r="B12" s="223">
        <f>SUM(B10:B11)</f>
        <v>13043.137216000001</v>
      </c>
      <c r="C12" s="227">
        <f>SUM(C10:C11)</f>
        <v>1</v>
      </c>
    </row>
    <row r="13" spans="1:2" ht="12.75">
      <c r="A13" s="77"/>
      <c r="B13" s="76"/>
    </row>
    <row r="14" spans="1:2" ht="12.75">
      <c r="A14" s="291" t="s">
        <v>277</v>
      </c>
      <c r="B14" s="76"/>
    </row>
    <row r="15" spans="1:2" ht="12.75">
      <c r="A15" s="265" t="s">
        <v>276</v>
      </c>
      <c r="B15" s="266" t="s">
        <v>8</v>
      </c>
    </row>
    <row r="16" spans="1:2" ht="12.75">
      <c r="A16" s="220" t="s">
        <v>169</v>
      </c>
      <c r="B16" s="221" t="s">
        <v>170</v>
      </c>
    </row>
    <row r="17" spans="1:2" ht="12.75">
      <c r="A17" s="220" t="s">
        <v>171</v>
      </c>
      <c r="B17" s="270">
        <f>Исх!C41</f>
        <v>0.07</v>
      </c>
    </row>
    <row r="18" spans="1:2" ht="12.75">
      <c r="A18" s="220" t="s">
        <v>193</v>
      </c>
      <c r="B18" s="228">
        <f>Исх!C42</f>
        <v>7</v>
      </c>
    </row>
    <row r="19" spans="1:2" ht="12.75">
      <c r="A19" s="220" t="s">
        <v>172</v>
      </c>
      <c r="B19" s="221" t="s">
        <v>173</v>
      </c>
    </row>
    <row r="20" spans="1:2" ht="12.75">
      <c r="A20" s="220" t="s">
        <v>174</v>
      </c>
      <c r="B20" s="221">
        <f>Исх!C43</f>
        <v>9</v>
      </c>
    </row>
    <row r="21" spans="1:2" ht="12.75">
      <c r="A21" s="220" t="s">
        <v>175</v>
      </c>
      <c r="B21" s="221">
        <f>Исх!C44</f>
        <v>6</v>
      </c>
    </row>
    <row r="22" spans="1:2" ht="12.75">
      <c r="A22" s="220" t="s">
        <v>355</v>
      </c>
      <c r="B22" s="221" t="s">
        <v>252</v>
      </c>
    </row>
    <row r="24" spans="1:2" ht="12.75">
      <c r="A24" s="291" t="s">
        <v>253</v>
      </c>
      <c r="B24" s="71"/>
    </row>
    <row r="25" spans="1:8" ht="12.75">
      <c r="A25" s="224" t="s">
        <v>28</v>
      </c>
      <c r="B25" s="282">
        <v>2014</v>
      </c>
      <c r="C25" s="251">
        <f aca="true" t="shared" si="0" ref="C25:H25">B25+1</f>
        <v>2015</v>
      </c>
      <c r="D25" s="282">
        <f t="shared" si="0"/>
        <v>2016</v>
      </c>
      <c r="E25" s="282">
        <f t="shared" si="0"/>
        <v>2017</v>
      </c>
      <c r="F25" s="282">
        <f t="shared" si="0"/>
        <v>2018</v>
      </c>
      <c r="G25" s="282">
        <f t="shared" si="0"/>
        <v>2019</v>
      </c>
      <c r="H25" s="282">
        <f t="shared" si="0"/>
        <v>2020</v>
      </c>
    </row>
    <row r="26" spans="1:8" ht="12.75">
      <c r="A26" s="220" t="s">
        <v>278</v>
      </c>
      <c r="B26" s="221">
        <f>'2-ф2'!AC5</f>
        <v>27011.069196428565</v>
      </c>
      <c r="C26" s="221">
        <f>'2-ф2'!AP5</f>
        <v>34771.98214285714</v>
      </c>
      <c r="D26" s="221">
        <f>'2-ф2'!AQ5</f>
        <v>39696.428571428565</v>
      </c>
      <c r="E26" s="221">
        <f>'2-ф2'!AR5</f>
        <v>41785.71428571428</v>
      </c>
      <c r="F26" s="221">
        <f>'2-ф2'!AS5</f>
        <v>41785.71428571428</v>
      </c>
      <c r="G26" s="221">
        <f>'2-ф2'!AT5</f>
        <v>41785.71428571428</v>
      </c>
      <c r="H26" s="221">
        <f>'2-ф2'!AU5</f>
        <v>41785.71428571428</v>
      </c>
    </row>
    <row r="27" spans="1:8" ht="12.75">
      <c r="A27" s="220" t="s">
        <v>279</v>
      </c>
      <c r="B27" s="221">
        <f>'2-ф2'!AC10</f>
        <v>13200.275717828566</v>
      </c>
      <c r="C27" s="221">
        <f>'2-ф2'!AP10</f>
        <v>16993.024163657145</v>
      </c>
      <c r="D27" s="221">
        <f>'2-ф2'!AQ10</f>
        <v>19399.594971428567</v>
      </c>
      <c r="E27" s="221">
        <f>'2-ф2'!AR10</f>
        <v>20420.626285714286</v>
      </c>
      <c r="F27" s="221">
        <f>'2-ф2'!AS10</f>
        <v>20420.626285714286</v>
      </c>
      <c r="G27" s="221">
        <f>'2-ф2'!AT10</f>
        <v>20420.626285714286</v>
      </c>
      <c r="H27" s="221">
        <f>'2-ф2'!AU10</f>
        <v>20420.626285714286</v>
      </c>
    </row>
    <row r="28" spans="1:8" ht="12.75">
      <c r="A28" s="220" t="s">
        <v>280</v>
      </c>
      <c r="B28" s="221">
        <f>'2-ф2'!AC16</f>
        <v>544.0017689038269</v>
      </c>
      <c r="C28" s="221">
        <f>'2-ф2'!AP16</f>
        <v>3168.616239925238</v>
      </c>
      <c r="D28" s="221">
        <f>'2-ф2'!AQ16</f>
        <v>4716.670047168756</v>
      </c>
      <c r="E28" s="221">
        <f>'2-ф2'!AR16</f>
        <v>5146.832153900247</v>
      </c>
      <c r="F28" s="221">
        <f>'2-ф2'!AS16</f>
        <v>4750.021688314229</v>
      </c>
      <c r="G28" s="221">
        <f>'2-ф2'!AT16</f>
        <v>4335.267224246265</v>
      </c>
      <c r="H28" s="221">
        <f>'2-ф2'!AU16</f>
        <v>3901.042220340752</v>
      </c>
    </row>
    <row r="29" spans="1:8" ht="12.75">
      <c r="A29" s="220" t="s">
        <v>350</v>
      </c>
      <c r="B29" s="226">
        <f>B27/B26</f>
        <v>0.48869874871794866</v>
      </c>
      <c r="C29" s="226">
        <f aca="true" t="shared" si="1" ref="C29:H29">C27/C26</f>
        <v>0.4886987487179488</v>
      </c>
      <c r="D29" s="226">
        <f t="shared" si="1"/>
        <v>0.48869874871794866</v>
      </c>
      <c r="E29" s="226">
        <f t="shared" si="1"/>
        <v>0.48869874871794877</v>
      </c>
      <c r="F29" s="226">
        <f t="shared" si="1"/>
        <v>0.48869874871794877</v>
      </c>
      <c r="G29" s="226">
        <f t="shared" si="1"/>
        <v>0.48869874871794877</v>
      </c>
      <c r="H29" s="226">
        <f t="shared" si="1"/>
        <v>0.48869874871794877</v>
      </c>
    </row>
    <row r="30" spans="1:8" ht="12.75">
      <c r="A30" s="220" t="s">
        <v>281</v>
      </c>
      <c r="B30" s="226">
        <f>B28/B26</f>
        <v>0.02013995688018731</v>
      </c>
      <c r="C30" s="226">
        <f aca="true" t="shared" si="2" ref="C30:H30">C28/C26</f>
        <v>0.09112555697593833</v>
      </c>
      <c r="D30" s="226">
        <f t="shared" si="2"/>
        <v>0.11881849871410274</v>
      </c>
      <c r="E30" s="226">
        <f t="shared" si="2"/>
        <v>0.12317205154633071</v>
      </c>
      <c r="F30" s="226">
        <f t="shared" si="2"/>
        <v>0.11367573271179353</v>
      </c>
      <c r="G30" s="226">
        <f t="shared" si="2"/>
        <v>0.10374998485375678</v>
      </c>
      <c r="H30" s="226">
        <f t="shared" si="2"/>
        <v>0.09335827535858211</v>
      </c>
    </row>
    <row r="31" spans="1:8" ht="12.75">
      <c r="A31" s="222" t="s">
        <v>317</v>
      </c>
      <c r="B31" s="223">
        <f>'1-Ф3'!AC34</f>
        <v>-197.5136405566326</v>
      </c>
      <c r="C31" s="223">
        <f>'1-Ф3'!AP34</f>
        <v>2397.0913116735974</v>
      </c>
      <c r="D31" s="223">
        <f>'1-Ф3'!AQ34</f>
        <v>3786.2745912055716</v>
      </c>
      <c r="E31" s="223">
        <f>'1-Ф3'!AR34</f>
        <v>4100.122513525574</v>
      </c>
      <c r="F31" s="223">
        <f>'1-Ф3'!AS34</f>
        <v>3578.589501732212</v>
      </c>
      <c r="G31" s="223">
        <f>'1-Ф3'!AT34</f>
        <v>3030.0962885070016</v>
      </c>
      <c r="H31" s="223">
        <f>'1-Ф3'!AU34</f>
        <v>2804.7658013691807</v>
      </c>
    </row>
    <row r="33" spans="1:2" ht="12.75">
      <c r="A33" s="291" t="s">
        <v>282</v>
      </c>
      <c r="B33" s="71"/>
    </row>
    <row r="34" spans="1:2" ht="12.75">
      <c r="A34" s="224" t="s">
        <v>351</v>
      </c>
      <c r="B34" s="282">
        <f>'1-Ф3'!BA35</f>
        <v>2018</v>
      </c>
    </row>
    <row r="35" spans="1:2" ht="12.75">
      <c r="A35" s="220" t="s">
        <v>176</v>
      </c>
      <c r="B35" s="226">
        <f>'1-Ф3'!BA48</f>
        <v>0.22041868420418442</v>
      </c>
    </row>
    <row r="36" spans="1:2" ht="12.75">
      <c r="A36" s="220" t="s">
        <v>177</v>
      </c>
      <c r="B36" s="221">
        <f>'1-Ф3'!BA46</f>
        <v>5405.003234019037</v>
      </c>
    </row>
    <row r="37" spans="1:2" ht="12.75">
      <c r="A37" s="220" t="s">
        <v>318</v>
      </c>
      <c r="B37" s="228">
        <f>'1-Ф3'!BA47</f>
        <v>1.4485158595391991</v>
      </c>
    </row>
    <row r="38" spans="1:2" ht="12.75">
      <c r="A38" s="220" t="s">
        <v>178</v>
      </c>
      <c r="B38" s="228">
        <f>'1-Ф3'!B49</f>
        <v>3.096890807056852</v>
      </c>
    </row>
    <row r="39" spans="1:2" ht="12.75">
      <c r="A39" s="220" t="s">
        <v>179</v>
      </c>
      <c r="B39" s="228">
        <f>'1-Ф3'!B50</f>
        <v>3.569722155832439</v>
      </c>
    </row>
    <row r="41" ht="12.75">
      <c r="A41" s="229" t="s">
        <v>283</v>
      </c>
    </row>
    <row r="42" spans="1:8" ht="12.75">
      <c r="A42" s="224" t="s">
        <v>28</v>
      </c>
      <c r="B42" s="282">
        <v>2014</v>
      </c>
      <c r="C42" s="225">
        <f aca="true" t="shared" si="3" ref="C42:H42">B42+1</f>
        <v>2015</v>
      </c>
      <c r="D42" s="282">
        <f t="shared" si="3"/>
        <v>2016</v>
      </c>
      <c r="E42" s="282">
        <f t="shared" si="3"/>
        <v>2017</v>
      </c>
      <c r="F42" s="282">
        <f t="shared" si="3"/>
        <v>2018</v>
      </c>
      <c r="G42" s="282">
        <f t="shared" si="3"/>
        <v>2019</v>
      </c>
      <c r="H42" s="282">
        <f t="shared" si="3"/>
        <v>2020</v>
      </c>
    </row>
    <row r="43" spans="1:8" ht="12.75">
      <c r="A43" s="220" t="s">
        <v>200</v>
      </c>
      <c r="B43" s="226">
        <f>Производство!AC6</f>
        <v>0.7375000000000002</v>
      </c>
      <c r="C43" s="226">
        <f>Производство!AP6</f>
        <v>0.8500000000000001</v>
      </c>
      <c r="D43" s="226">
        <f>Производство!AQ6</f>
        <v>0.95</v>
      </c>
      <c r="E43" s="226">
        <f>Производство!AR6</f>
        <v>1</v>
      </c>
      <c r="F43" s="226">
        <f>Производство!AS6</f>
        <v>1</v>
      </c>
      <c r="G43" s="226">
        <f>Производство!AT6</f>
        <v>1</v>
      </c>
      <c r="H43" s="226">
        <f>Производство!AU6</f>
        <v>1</v>
      </c>
    </row>
    <row r="44" spans="1:8" ht="12.75">
      <c r="A44" s="220" t="str">
        <f>Исх!A30</f>
        <v>Краска акрилатная</v>
      </c>
      <c r="B44" s="221">
        <f>Производство!AC7</f>
        <v>230.1</v>
      </c>
      <c r="C44" s="221">
        <f>Производство!AP7</f>
        <v>265.2</v>
      </c>
      <c r="D44" s="221">
        <f>Производство!AQ7</f>
        <v>296.4</v>
      </c>
      <c r="E44" s="221">
        <f>Производство!AR7</f>
        <v>312</v>
      </c>
      <c r="F44" s="221">
        <f>Производство!AS7</f>
        <v>312</v>
      </c>
      <c r="G44" s="221">
        <f>Производство!AT7</f>
        <v>312</v>
      </c>
      <c r="H44" s="221">
        <f>Производство!AU7</f>
        <v>312</v>
      </c>
    </row>
    <row r="45" spans="1:8" s="320" customFormat="1" ht="12">
      <c r="A45" s="318" t="str">
        <f>Исх!A31</f>
        <v>Краска для внутренних работ</v>
      </c>
      <c r="B45" s="319">
        <f>Производство!AC8</f>
        <v>138.06</v>
      </c>
      <c r="C45" s="319">
        <f>Производство!AP8</f>
        <v>159.11999999999998</v>
      </c>
      <c r="D45" s="319">
        <f>Производство!AQ8</f>
        <v>177.84</v>
      </c>
      <c r="E45" s="319">
        <f>Производство!AR8</f>
        <v>187.2</v>
      </c>
      <c r="F45" s="319">
        <f>Производство!AS8</f>
        <v>187.2</v>
      </c>
      <c r="G45" s="319">
        <f>Производство!AT8</f>
        <v>187.2</v>
      </c>
      <c r="H45" s="319">
        <f>Производство!AU8</f>
        <v>187.2</v>
      </c>
    </row>
    <row r="46" spans="1:8" s="320" customFormat="1" ht="12">
      <c r="A46" s="318" t="str">
        <f>Исх!A32</f>
        <v>Краска фасадная</v>
      </c>
      <c r="B46" s="319">
        <f>Производство!AC9</f>
        <v>92.03999999999999</v>
      </c>
      <c r="C46" s="319">
        <f>Производство!AP9</f>
        <v>106.08</v>
      </c>
      <c r="D46" s="319">
        <f>Производство!AQ9</f>
        <v>118.56</v>
      </c>
      <c r="E46" s="319">
        <f>Производство!AR9</f>
        <v>124.80000000000001</v>
      </c>
      <c r="F46" s="319">
        <f>Производство!AS9</f>
        <v>124.80000000000001</v>
      </c>
      <c r="G46" s="319">
        <f>Производство!AT9</f>
        <v>124.80000000000001</v>
      </c>
      <c r="H46" s="319">
        <f>Производство!AU9</f>
        <v>124.80000000000001</v>
      </c>
    </row>
    <row r="48" ht="12.75">
      <c r="A48" s="229" t="s">
        <v>180</v>
      </c>
    </row>
    <row r="49" spans="1:7" ht="12.75">
      <c r="A49" s="375" t="s">
        <v>181</v>
      </c>
      <c r="B49" s="377" t="s">
        <v>290</v>
      </c>
      <c r="C49" s="378"/>
      <c r="D49" s="378"/>
      <c r="E49" s="378"/>
      <c r="F49" s="379"/>
      <c r="G49" s="305" t="s">
        <v>319</v>
      </c>
    </row>
    <row r="50" spans="1:7" ht="12.75">
      <c r="A50" s="376"/>
      <c r="B50" s="305" t="s">
        <v>284</v>
      </c>
      <c r="C50" s="305" t="s">
        <v>285</v>
      </c>
      <c r="D50" s="305" t="s">
        <v>286</v>
      </c>
      <c r="E50" s="305" t="s">
        <v>287</v>
      </c>
      <c r="F50" s="305" t="s">
        <v>288</v>
      </c>
      <c r="G50" s="282" t="s">
        <v>289</v>
      </c>
    </row>
    <row r="51" spans="1:7" ht="25.5">
      <c r="A51" s="230" t="s">
        <v>254</v>
      </c>
      <c r="B51" s="231"/>
      <c r="C51" s="226"/>
      <c r="D51" s="226"/>
      <c r="E51" s="226"/>
      <c r="F51" s="226"/>
      <c r="G51" s="226"/>
    </row>
    <row r="52" spans="1:7" ht="12.75">
      <c r="A52" s="220" t="s">
        <v>182</v>
      </c>
      <c r="B52" s="226"/>
      <c r="C52" s="231"/>
      <c r="D52" s="231"/>
      <c r="E52" s="226"/>
      <c r="F52" s="226"/>
      <c r="G52" s="226"/>
    </row>
    <row r="53" spans="1:7" ht="12.75">
      <c r="A53" s="220" t="s">
        <v>183</v>
      </c>
      <c r="B53" s="226"/>
      <c r="C53" s="226"/>
      <c r="D53" s="231"/>
      <c r="E53" s="226"/>
      <c r="F53" s="226"/>
      <c r="G53" s="226"/>
    </row>
    <row r="54" spans="1:7" ht="12.75">
      <c r="A54" s="220" t="s">
        <v>352</v>
      </c>
      <c r="B54" s="226"/>
      <c r="C54" s="226"/>
      <c r="D54" s="231"/>
      <c r="E54" s="226"/>
      <c r="F54" s="226"/>
      <c r="G54" s="226"/>
    </row>
    <row r="55" spans="1:7" ht="12.75">
      <c r="A55" s="220" t="s">
        <v>320</v>
      </c>
      <c r="B55" s="226"/>
      <c r="C55" s="226"/>
      <c r="D55" s="231"/>
      <c r="E55" s="226"/>
      <c r="F55" s="226"/>
      <c r="G55" s="226"/>
    </row>
    <row r="56" spans="1:7" ht="12.75">
      <c r="A56" s="220" t="s">
        <v>353</v>
      </c>
      <c r="B56" s="226"/>
      <c r="C56" s="226"/>
      <c r="D56" s="226"/>
      <c r="E56" s="231"/>
      <c r="F56" s="231"/>
      <c r="G56" s="226"/>
    </row>
    <row r="57" spans="1:7" ht="12.75">
      <c r="A57" s="220" t="s">
        <v>321</v>
      </c>
      <c r="B57" s="226"/>
      <c r="C57" s="226"/>
      <c r="D57" s="226"/>
      <c r="E57" s="226"/>
      <c r="F57" s="226"/>
      <c r="G57" s="231"/>
    </row>
    <row r="58" spans="1:7" ht="12.75">
      <c r="A58" s="220" t="s">
        <v>322</v>
      </c>
      <c r="B58" s="221"/>
      <c r="C58" s="221"/>
      <c r="D58" s="226"/>
      <c r="E58" s="226"/>
      <c r="F58" s="226"/>
      <c r="G58" s="231"/>
    </row>
    <row r="60" ht="12.75">
      <c r="A60" s="229" t="s">
        <v>186</v>
      </c>
    </row>
    <row r="62" spans="1:2" ht="12.75">
      <c r="A62" s="265" t="s">
        <v>188</v>
      </c>
      <c r="B62" s="266" t="s">
        <v>189</v>
      </c>
    </row>
    <row r="63" spans="1:2" ht="12.75">
      <c r="A63" s="220" t="s">
        <v>41</v>
      </c>
      <c r="B63" s="221">
        <f>'1-Ф3'!B17</f>
        <v>10174.328294646428</v>
      </c>
    </row>
    <row r="64" spans="1:2" ht="12.75">
      <c r="A64" s="220" t="s">
        <v>213</v>
      </c>
      <c r="B64" s="221">
        <f>'1-Ф3'!B16</f>
        <v>6610.6128376998295</v>
      </c>
    </row>
    <row r="65" spans="1:2" ht="12.75">
      <c r="A65" s="220" t="s">
        <v>187</v>
      </c>
      <c r="B65" s="221">
        <f>(ФОТ!K22-ФОТ!J22)*12*7</f>
        <v>11839.8</v>
      </c>
    </row>
    <row r="66" spans="1:2" ht="12.75">
      <c r="A66" s="220" t="s">
        <v>194</v>
      </c>
      <c r="B66" s="221">
        <f>SUM(Пост!C21:I21)*12</f>
        <v>650.977232142857</v>
      </c>
    </row>
    <row r="67" spans="1:2" ht="12.75">
      <c r="A67" s="222" t="s">
        <v>0</v>
      </c>
      <c r="B67" s="223">
        <f>SUM(B63:B66)</f>
        <v>29275.718364489112</v>
      </c>
    </row>
  </sheetData>
  <sheetProtection/>
  <mergeCells count="2">
    <mergeCell ref="A49:A50"/>
    <mergeCell ref="B49:F49"/>
  </mergeCells>
  <printOptions/>
  <pageMargins left="0.3" right="0.25" top="0.51" bottom="0.86" header="0.3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H30"/>
  <sheetViews>
    <sheetView showGridLines="0" showZeros="0" tabSelected="1" zoomScalePageLayoutView="0" workbookViewId="0" topLeftCell="A1">
      <pane xSplit="3" ySplit="4" topLeftCell="F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Q24" sqref="Q24"/>
    </sheetView>
  </sheetViews>
  <sheetFormatPr defaultColWidth="10.125" defaultRowHeight="12.75" outlineLevelCol="1"/>
  <cols>
    <col min="1" max="1" width="38.125" style="88" customWidth="1"/>
    <col min="2" max="2" width="11.375" style="88" customWidth="1"/>
    <col min="3" max="3" width="3.875" style="88" customWidth="1"/>
    <col min="4" max="4" width="7.125" style="88" hidden="1" customWidth="1" outlineLevel="1"/>
    <col min="5" max="5" width="8.25390625" style="88" hidden="1" customWidth="1" outlineLevel="1"/>
    <col min="6" max="11" width="7.00390625" style="88" hidden="1" customWidth="1" outlineLevel="1"/>
    <col min="12" max="12" width="8.75390625" style="88" hidden="1" customWidth="1" outlineLevel="1"/>
    <col min="13" max="13" width="7.875" style="88" hidden="1" customWidth="1" outlineLevel="1"/>
    <col min="14" max="15" width="8.625" style="88" hidden="1" customWidth="1" outlineLevel="1"/>
    <col min="16" max="16" width="9.125" style="88" customWidth="1" collapsed="1"/>
    <col min="17" max="28" width="8.375" style="88" hidden="1" customWidth="1" outlineLevel="1"/>
    <col min="29" max="29" width="9.125" style="88" customWidth="1" collapsed="1"/>
    <col min="30" max="41" width="8.375" style="88" hidden="1" customWidth="1" outlineLevel="1"/>
    <col min="42" max="42" width="9.125" style="88" customWidth="1" collapsed="1"/>
    <col min="43" max="47" width="9.75390625" style="88" bestFit="1" customWidth="1"/>
    <col min="48" max="16384" width="10.125" style="88" customWidth="1"/>
  </cols>
  <sheetData>
    <row r="1" spans="1:3" ht="21" customHeight="1">
      <c r="A1" s="62" t="s">
        <v>110</v>
      </c>
      <c r="B1" s="87"/>
      <c r="C1" s="87"/>
    </row>
    <row r="2" spans="1:3" ht="17.25" customHeight="1">
      <c r="A2" s="62"/>
      <c r="B2" s="12" t="str">
        <f>Исх!$C$10</f>
        <v>тыс.тг.</v>
      </c>
      <c r="C2" s="89"/>
    </row>
    <row r="3" spans="1:47" ht="12.75" customHeight="1">
      <c r="A3" s="336" t="s">
        <v>3</v>
      </c>
      <c r="B3" s="340" t="s">
        <v>89</v>
      </c>
      <c r="C3" s="91"/>
      <c r="D3" s="335">
        <v>2013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>
        <v>2014</v>
      </c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27">
        <v>2015</v>
      </c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9"/>
      <c r="AQ3" s="92">
        <f>AD3+1</f>
        <v>2016</v>
      </c>
      <c r="AR3" s="92">
        <f>AQ3+1</f>
        <v>2017</v>
      </c>
      <c r="AS3" s="92">
        <f>AR3+1</f>
        <v>2018</v>
      </c>
      <c r="AT3" s="92">
        <f>AS3+1</f>
        <v>2019</v>
      </c>
      <c r="AU3" s="92">
        <f>AT3+1</f>
        <v>2020</v>
      </c>
    </row>
    <row r="4" spans="1:47" ht="12.75">
      <c r="A4" s="337"/>
      <c r="B4" s="340"/>
      <c r="C4" s="93"/>
      <c r="D4" s="94">
        <v>1</v>
      </c>
      <c r="E4" s="94">
        <f aca="true" t="shared" si="0" ref="E4:O4">D4+1</f>
        <v>2</v>
      </c>
      <c r="F4" s="94">
        <f t="shared" si="0"/>
        <v>3</v>
      </c>
      <c r="G4" s="94">
        <f t="shared" si="0"/>
        <v>4</v>
      </c>
      <c r="H4" s="94">
        <f t="shared" si="0"/>
        <v>5</v>
      </c>
      <c r="I4" s="94">
        <f t="shared" si="0"/>
        <v>6</v>
      </c>
      <c r="J4" s="94">
        <f t="shared" si="0"/>
        <v>7</v>
      </c>
      <c r="K4" s="94">
        <f t="shared" si="0"/>
        <v>8</v>
      </c>
      <c r="L4" s="94">
        <f t="shared" si="0"/>
        <v>9</v>
      </c>
      <c r="M4" s="94">
        <f t="shared" si="0"/>
        <v>10</v>
      </c>
      <c r="N4" s="94">
        <f t="shared" si="0"/>
        <v>11</v>
      </c>
      <c r="O4" s="94">
        <f t="shared" si="0"/>
        <v>12</v>
      </c>
      <c r="P4" s="90" t="s">
        <v>0</v>
      </c>
      <c r="Q4" s="94">
        <v>1</v>
      </c>
      <c r="R4" s="94">
        <f aca="true" t="shared" si="1" ref="R4:AB4">Q4+1</f>
        <v>2</v>
      </c>
      <c r="S4" s="94">
        <f t="shared" si="1"/>
        <v>3</v>
      </c>
      <c r="T4" s="94">
        <f t="shared" si="1"/>
        <v>4</v>
      </c>
      <c r="U4" s="94">
        <f t="shared" si="1"/>
        <v>5</v>
      </c>
      <c r="V4" s="94">
        <f t="shared" si="1"/>
        <v>6</v>
      </c>
      <c r="W4" s="94">
        <f t="shared" si="1"/>
        <v>7</v>
      </c>
      <c r="X4" s="94">
        <f t="shared" si="1"/>
        <v>8</v>
      </c>
      <c r="Y4" s="94">
        <f t="shared" si="1"/>
        <v>9</v>
      </c>
      <c r="Z4" s="94">
        <f t="shared" si="1"/>
        <v>10</v>
      </c>
      <c r="AA4" s="94">
        <f t="shared" si="1"/>
        <v>11</v>
      </c>
      <c r="AB4" s="94">
        <f t="shared" si="1"/>
        <v>12</v>
      </c>
      <c r="AC4" s="90" t="s">
        <v>0</v>
      </c>
      <c r="AD4" s="94">
        <v>1</v>
      </c>
      <c r="AE4" s="94">
        <f aca="true" t="shared" si="2" ref="AE4:AO4">AD4+1</f>
        <v>2</v>
      </c>
      <c r="AF4" s="94">
        <f t="shared" si="2"/>
        <v>3</v>
      </c>
      <c r="AG4" s="94">
        <f t="shared" si="2"/>
        <v>4</v>
      </c>
      <c r="AH4" s="94">
        <f t="shared" si="2"/>
        <v>5</v>
      </c>
      <c r="AI4" s="94">
        <f t="shared" si="2"/>
        <v>6</v>
      </c>
      <c r="AJ4" s="94">
        <f t="shared" si="2"/>
        <v>7</v>
      </c>
      <c r="AK4" s="94">
        <f t="shared" si="2"/>
        <v>8</v>
      </c>
      <c r="AL4" s="94">
        <f t="shared" si="2"/>
        <v>9</v>
      </c>
      <c r="AM4" s="94">
        <f t="shared" si="2"/>
        <v>10</v>
      </c>
      <c r="AN4" s="94">
        <f t="shared" si="2"/>
        <v>11</v>
      </c>
      <c r="AO4" s="94">
        <f t="shared" si="2"/>
        <v>12</v>
      </c>
      <c r="AP4" s="90" t="s">
        <v>0</v>
      </c>
      <c r="AQ4" s="90" t="s">
        <v>111</v>
      </c>
      <c r="AR4" s="90" t="s">
        <v>111</v>
      </c>
      <c r="AS4" s="90" t="s">
        <v>111</v>
      </c>
      <c r="AT4" s="90" t="s">
        <v>111</v>
      </c>
      <c r="AU4" s="90" t="s">
        <v>111</v>
      </c>
    </row>
    <row r="5" spans="1:48" s="89" customFormat="1" ht="15" customHeight="1">
      <c r="A5" s="95" t="s">
        <v>324</v>
      </c>
      <c r="B5" s="96">
        <f>SUM(B6:B7)</f>
        <v>268622.3370535714</v>
      </c>
      <c r="C5" s="96">
        <f aca="true" t="shared" si="3" ref="C5:AU5">SUM(C6:C7)</f>
        <v>0</v>
      </c>
      <c r="D5" s="96">
        <f t="shared" si="3"/>
        <v>0</v>
      </c>
      <c r="E5" s="96">
        <f t="shared" si="3"/>
        <v>0</v>
      </c>
      <c r="F5" s="96">
        <f t="shared" si="3"/>
        <v>0</v>
      </c>
      <c r="G5" s="96">
        <f t="shared" si="3"/>
        <v>0</v>
      </c>
      <c r="H5" s="96">
        <f t="shared" si="3"/>
        <v>0</v>
      </c>
      <c r="I5" s="96">
        <f t="shared" si="3"/>
        <v>0</v>
      </c>
      <c r="J5" s="96">
        <f t="shared" si="3"/>
        <v>0</v>
      </c>
      <c r="K5" s="96">
        <f t="shared" si="3"/>
        <v>0</v>
      </c>
      <c r="L5" s="96">
        <f t="shared" si="3"/>
        <v>0</v>
      </c>
      <c r="M5" s="96">
        <f t="shared" si="3"/>
        <v>0</v>
      </c>
      <c r="N5" s="96">
        <f t="shared" si="3"/>
        <v>0</v>
      </c>
      <c r="O5" s="96">
        <f t="shared" si="3"/>
        <v>0</v>
      </c>
      <c r="P5" s="96">
        <f t="shared" si="3"/>
        <v>0</v>
      </c>
      <c r="Q5" s="96">
        <f t="shared" si="3"/>
        <v>1540.8482142857142</v>
      </c>
      <c r="R5" s="96">
        <f t="shared" si="3"/>
        <v>2157.1875</v>
      </c>
      <c r="S5" s="96">
        <f t="shared" si="3"/>
        <v>2465.357142857142</v>
      </c>
      <c r="T5" s="96">
        <f t="shared" si="3"/>
        <v>2465.357142857142</v>
      </c>
      <c r="U5" s="96">
        <f t="shared" si="3"/>
        <v>3081.6964285714284</v>
      </c>
      <c r="V5" s="96">
        <f t="shared" si="3"/>
        <v>2542.3995535714284</v>
      </c>
      <c r="W5" s="96">
        <f t="shared" si="3"/>
        <v>2218.821428571428</v>
      </c>
      <c r="X5" s="96">
        <f t="shared" si="3"/>
        <v>2218.821428571428</v>
      </c>
      <c r="Y5" s="96">
        <f t="shared" si="3"/>
        <v>3081.6964285714284</v>
      </c>
      <c r="Z5" s="96">
        <f t="shared" si="3"/>
        <v>2465.357142857142</v>
      </c>
      <c r="AA5" s="96">
        <f t="shared" si="3"/>
        <v>1849.0178571428569</v>
      </c>
      <c r="AB5" s="96">
        <f t="shared" si="3"/>
        <v>924.5089285714284</v>
      </c>
      <c r="AC5" s="96">
        <f t="shared" si="3"/>
        <v>27011.069196428565</v>
      </c>
      <c r="AD5" s="96">
        <f t="shared" si="3"/>
        <v>1775.8928571428569</v>
      </c>
      <c r="AE5" s="96">
        <f t="shared" si="3"/>
        <v>2486.2499999999995</v>
      </c>
      <c r="AF5" s="96">
        <f t="shared" si="3"/>
        <v>2841.4285714285706</v>
      </c>
      <c r="AG5" s="96">
        <f t="shared" si="3"/>
        <v>2841.4285714285706</v>
      </c>
      <c r="AH5" s="96">
        <f t="shared" si="3"/>
        <v>3551.7857142857138</v>
      </c>
      <c r="AI5" s="96">
        <f t="shared" si="3"/>
        <v>3906.9642857142844</v>
      </c>
      <c r="AJ5" s="96">
        <f t="shared" si="3"/>
        <v>4262.142857142856</v>
      </c>
      <c r="AK5" s="96">
        <f t="shared" si="3"/>
        <v>4049.035714285713</v>
      </c>
      <c r="AL5" s="96">
        <f t="shared" si="3"/>
        <v>3019.017857142857</v>
      </c>
      <c r="AM5" s="96">
        <f t="shared" si="3"/>
        <v>2841.4285714285706</v>
      </c>
      <c r="AN5" s="96">
        <f t="shared" si="3"/>
        <v>2131.071428571428</v>
      </c>
      <c r="AO5" s="96">
        <f t="shared" si="3"/>
        <v>1065.535714285714</v>
      </c>
      <c r="AP5" s="96">
        <f t="shared" si="3"/>
        <v>34771.98214285714</v>
      </c>
      <c r="AQ5" s="96">
        <f t="shared" si="3"/>
        <v>39696.428571428565</v>
      </c>
      <c r="AR5" s="96">
        <f t="shared" si="3"/>
        <v>41785.71428571428</v>
      </c>
      <c r="AS5" s="96">
        <f t="shared" si="3"/>
        <v>41785.71428571428</v>
      </c>
      <c r="AT5" s="96">
        <f t="shared" si="3"/>
        <v>41785.71428571428</v>
      </c>
      <c r="AU5" s="96">
        <f t="shared" si="3"/>
        <v>41785.71428571428</v>
      </c>
      <c r="AV5" s="98"/>
    </row>
    <row r="6" spans="1:48" s="89" customFormat="1" ht="12.75">
      <c r="A6" s="284" t="str">
        <f>Дох!A6</f>
        <v>Краска для внутренних работ</v>
      </c>
      <c r="B6" s="96">
        <f>P6+AC6+AP6+AQ6+AR6+AS6+AT6+AU6</f>
        <v>150428.50874999998</v>
      </c>
      <c r="C6" s="97"/>
      <c r="D6" s="99">
        <f>Производство!D13*Дох!$C6/1000</f>
        <v>0</v>
      </c>
      <c r="E6" s="99">
        <f>Производство!E13*Дох!$C6/1000</f>
        <v>0</v>
      </c>
      <c r="F6" s="99">
        <f>Производство!F13*Дох!$C6/1000</f>
        <v>0</v>
      </c>
      <c r="G6" s="99">
        <f>Производство!G13*Дох!$C6/1000</f>
        <v>0</v>
      </c>
      <c r="H6" s="99">
        <f>Производство!H13*Дох!$C6/1000</f>
        <v>0</v>
      </c>
      <c r="I6" s="99">
        <f>Производство!I13*Дох!$C6/1000</f>
        <v>0</v>
      </c>
      <c r="J6" s="99">
        <f>Производство!J13*Дох!$C6/1000</f>
        <v>0</v>
      </c>
      <c r="K6" s="99">
        <f>Производство!K13*Дох!$C6/1000</f>
        <v>0</v>
      </c>
      <c r="L6" s="99">
        <f>Производство!L13*Дох!$C6/1000</f>
        <v>0</v>
      </c>
      <c r="M6" s="99">
        <f>Производство!M13*Дох!$C6/1000</f>
        <v>0</v>
      </c>
      <c r="N6" s="99">
        <f>Производство!N13*Дох!$C6/1000</f>
        <v>0</v>
      </c>
      <c r="O6" s="99">
        <f>Производство!O13*Дох!$C6/1000</f>
        <v>0</v>
      </c>
      <c r="P6" s="97">
        <f>SUM(D6:O6)</f>
        <v>0</v>
      </c>
      <c r="Q6" s="99">
        <f>Производство!Q13*Дох!$C6</f>
        <v>862.875</v>
      </c>
      <c r="R6" s="99">
        <f>Производство!R13*Дох!$C6</f>
        <v>1208.025</v>
      </c>
      <c r="S6" s="99">
        <f>Производство!S13*Дох!$C6</f>
        <v>1380.6</v>
      </c>
      <c r="T6" s="99">
        <f>Производство!T13*Дох!$C6</f>
        <v>1380.6</v>
      </c>
      <c r="U6" s="99">
        <f>Производство!U13*Дох!$C6</f>
        <v>1725.75</v>
      </c>
      <c r="V6" s="99">
        <f>Производство!V13*Дох!$C6</f>
        <v>1423.7437499999999</v>
      </c>
      <c r="W6" s="99">
        <f>Производство!W13*Дох!$C6</f>
        <v>1242.5399999999997</v>
      </c>
      <c r="X6" s="99">
        <f>Производство!X13*Дох!$C6</f>
        <v>1242.5399999999997</v>
      </c>
      <c r="Y6" s="99">
        <f>Производство!Y13*Дох!$C6</f>
        <v>1725.75</v>
      </c>
      <c r="Z6" s="99">
        <f>Производство!Z13*Дох!$C6</f>
        <v>1380.6</v>
      </c>
      <c r="AA6" s="99">
        <f>Производство!AA13*Дох!$C6</f>
        <v>1035.4499999999998</v>
      </c>
      <c r="AB6" s="99">
        <f>Производство!AB13*Дох!$C6</f>
        <v>517.7249999999999</v>
      </c>
      <c r="AC6" s="97">
        <f>SUM(Q6:AB6)</f>
        <v>15126.198749999998</v>
      </c>
      <c r="AD6" s="99">
        <f>Производство!AD13*Дох!$C6</f>
        <v>994.4999999999998</v>
      </c>
      <c r="AE6" s="99">
        <f>Производство!AE13*Дох!$C6</f>
        <v>1392.2999999999997</v>
      </c>
      <c r="AF6" s="99">
        <f>Производство!AF13*Дох!$C6</f>
        <v>1591.1999999999996</v>
      </c>
      <c r="AG6" s="99">
        <f>Производство!AG13*Дох!$C6</f>
        <v>1591.1999999999996</v>
      </c>
      <c r="AH6" s="99">
        <f>Производство!AH13*Дох!$C6</f>
        <v>1988.9999999999995</v>
      </c>
      <c r="AI6" s="99">
        <f>Производство!AI13*Дох!$C6</f>
        <v>2187.899999999999</v>
      </c>
      <c r="AJ6" s="99">
        <f>Производство!AJ13*Дох!$C6</f>
        <v>2386.7999999999993</v>
      </c>
      <c r="AK6" s="99">
        <f>Производство!AK13*Дох!$C6</f>
        <v>2267.459999999999</v>
      </c>
      <c r="AL6" s="99">
        <f>Производство!AL13*Дох!$C6</f>
        <v>1690.6499999999996</v>
      </c>
      <c r="AM6" s="99">
        <f>Производство!AM13*Дох!$C6</f>
        <v>1591.1999999999996</v>
      </c>
      <c r="AN6" s="99">
        <f>Производство!AN13*Дох!$C6</f>
        <v>1193.3999999999996</v>
      </c>
      <c r="AO6" s="99">
        <f>Производство!AO13*Дох!$C6</f>
        <v>596.6999999999998</v>
      </c>
      <c r="AP6" s="97">
        <f>SUM(AD6:AO6)</f>
        <v>19472.309999999994</v>
      </c>
      <c r="AQ6" s="99">
        <f>Производство!AQ13*Дох!$C6</f>
        <v>22229.999999999996</v>
      </c>
      <c r="AR6" s="99">
        <f>Производство!AR13*Дох!$C6</f>
        <v>23399.999999999996</v>
      </c>
      <c r="AS6" s="99">
        <f>Производство!AS13*Дох!$C6</f>
        <v>23399.999999999996</v>
      </c>
      <c r="AT6" s="99">
        <f>Производство!AT13*Дох!$C6</f>
        <v>23399.999999999996</v>
      </c>
      <c r="AU6" s="99">
        <f>Производство!AU13*Дох!$C6</f>
        <v>23399.999999999996</v>
      </c>
      <c r="AV6" s="98"/>
    </row>
    <row r="7" spans="1:48" s="89" customFormat="1" ht="12.75">
      <c r="A7" s="284" t="str">
        <f>Дох!A7</f>
        <v>Краска фасадная</v>
      </c>
      <c r="B7" s="96">
        <f>P7+AC7+AP7+AQ7+AR7+AS7+AT7+AU7</f>
        <v>118193.82830357144</v>
      </c>
      <c r="C7" s="97"/>
      <c r="D7" s="99">
        <f>Производство!D15*Дох!$C8/1000</f>
        <v>0</v>
      </c>
      <c r="E7" s="99">
        <f>Производство!E15*Дох!$C8/1000</f>
        <v>0</v>
      </c>
      <c r="F7" s="99">
        <f>Производство!F15*Дох!$C8/1000</f>
        <v>0</v>
      </c>
      <c r="G7" s="99">
        <f>Производство!G15*Дох!$C8/1000</f>
        <v>0</v>
      </c>
      <c r="H7" s="99">
        <f>Производство!H15*Дох!$C8/1000</f>
        <v>0</v>
      </c>
      <c r="I7" s="99">
        <f>Производство!I15*Дох!$C8/1000</f>
        <v>0</v>
      </c>
      <c r="J7" s="99">
        <f>Производство!J15*Дох!$C8/1000</f>
        <v>0</v>
      </c>
      <c r="K7" s="99">
        <f>Производство!K15*Дох!$C8/1000</f>
        <v>0</v>
      </c>
      <c r="L7" s="99">
        <f>Производство!L15*Дох!$C8/1000</f>
        <v>0</v>
      </c>
      <c r="M7" s="99">
        <f>Производство!M15*Дох!$C8/1000</f>
        <v>0</v>
      </c>
      <c r="N7" s="99">
        <f>Производство!N15*Дох!$C8/1000</f>
        <v>0</v>
      </c>
      <c r="O7" s="99">
        <f>Производство!O15*Дох!$C8/1000</f>
        <v>0</v>
      </c>
      <c r="P7" s="97">
        <f>SUM(D7:O7)</f>
        <v>0</v>
      </c>
      <c r="Q7" s="99">
        <f>Производство!Q14*Дох!$C7</f>
        <v>677.9732142857141</v>
      </c>
      <c r="R7" s="99">
        <f>Производство!R14*Дох!$C7</f>
        <v>949.1624999999999</v>
      </c>
      <c r="S7" s="99">
        <f>Производство!S14*Дох!$C7</f>
        <v>1084.7571428571425</v>
      </c>
      <c r="T7" s="99">
        <f>Производство!T14*Дох!$C7</f>
        <v>1084.7571428571425</v>
      </c>
      <c r="U7" s="99">
        <f>Производство!U14*Дох!$C7</f>
        <v>1355.9464285714282</v>
      </c>
      <c r="V7" s="99">
        <f>Производство!V14*Дох!$C7</f>
        <v>1118.6558035714284</v>
      </c>
      <c r="W7" s="99">
        <f>Производство!W14*Дох!$C7</f>
        <v>976.2814285714284</v>
      </c>
      <c r="X7" s="99">
        <f>Производство!X14*Дох!$C7</f>
        <v>976.2814285714284</v>
      </c>
      <c r="Y7" s="99">
        <f>Производство!Y14*Дох!$C7</f>
        <v>1355.9464285714282</v>
      </c>
      <c r="Z7" s="99">
        <f>Производство!Z14*Дох!$C7</f>
        <v>1084.7571428571425</v>
      </c>
      <c r="AA7" s="99">
        <f>Производство!AA14*Дох!$C7</f>
        <v>813.567857142857</v>
      </c>
      <c r="AB7" s="99">
        <f>Производство!AB14*Дох!$C7</f>
        <v>406.7839285714285</v>
      </c>
      <c r="AC7" s="97">
        <f>SUM(Q7:AB7)</f>
        <v>11884.87044642857</v>
      </c>
      <c r="AD7" s="99">
        <f>Производство!AD14*Дох!$C7</f>
        <v>781.3928571428571</v>
      </c>
      <c r="AE7" s="99">
        <f>Производство!AE14*Дох!$C7</f>
        <v>1093.9499999999998</v>
      </c>
      <c r="AF7" s="99">
        <f>Производство!AF14*Дох!$C7</f>
        <v>1250.2285714285713</v>
      </c>
      <c r="AG7" s="99">
        <f>Производство!AG14*Дох!$C7</f>
        <v>1250.2285714285713</v>
      </c>
      <c r="AH7" s="99">
        <f>Производство!AH14*Дох!$C7</f>
        <v>1562.7857142857142</v>
      </c>
      <c r="AI7" s="99">
        <f>Производство!AI14*Дох!$C7</f>
        <v>1719.0642857142855</v>
      </c>
      <c r="AJ7" s="99">
        <f>Производство!AJ14*Дох!$C7</f>
        <v>1875.342857142857</v>
      </c>
      <c r="AK7" s="99">
        <f>Производство!AK14*Дох!$C7</f>
        <v>1781.575714285714</v>
      </c>
      <c r="AL7" s="99">
        <f>Производство!AL14*Дох!$C7</f>
        <v>1328.367857142857</v>
      </c>
      <c r="AM7" s="99">
        <f>Производство!AM14*Дох!$C7</f>
        <v>1250.2285714285713</v>
      </c>
      <c r="AN7" s="99">
        <f>Производство!AN14*Дох!$C7</f>
        <v>937.6714285714285</v>
      </c>
      <c r="AO7" s="99">
        <f>Производство!AO14*Дох!$C7</f>
        <v>468.83571428571423</v>
      </c>
      <c r="AP7" s="97">
        <f>SUM(AD7:AO7)</f>
        <v>15299.672142857142</v>
      </c>
      <c r="AQ7" s="99">
        <f>Производство!AQ14*Дох!$C7</f>
        <v>17466.42857142857</v>
      </c>
      <c r="AR7" s="99">
        <f>Производство!AR14*Дох!$C7</f>
        <v>18385.714285714286</v>
      </c>
      <c r="AS7" s="99">
        <f>Производство!AS14*Дох!$C7</f>
        <v>18385.714285714286</v>
      </c>
      <c r="AT7" s="99">
        <f>Производство!AT14*Дох!$C7</f>
        <v>18385.714285714286</v>
      </c>
      <c r="AU7" s="99">
        <f>Производство!AU14*Дох!$C7</f>
        <v>18385.714285714286</v>
      </c>
      <c r="AV7" s="98"/>
    </row>
    <row r="8" spans="1:47" ht="15" customHeight="1">
      <c r="A8" s="95" t="s">
        <v>325</v>
      </c>
      <c r="B8" s="96">
        <f>SUM(B9:B9)</f>
        <v>137346.93705779995</v>
      </c>
      <c r="C8" s="97"/>
      <c r="D8" s="97">
        <f aca="true" t="shared" si="4" ref="D8:AU8">SUM(D9:D9)</f>
        <v>0</v>
      </c>
      <c r="E8" s="97">
        <f t="shared" si="4"/>
        <v>0</v>
      </c>
      <c r="F8" s="97">
        <f t="shared" si="4"/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97">
        <f t="shared" si="4"/>
        <v>0</v>
      </c>
      <c r="N8" s="97">
        <f t="shared" si="4"/>
        <v>0</v>
      </c>
      <c r="O8" s="97">
        <f t="shared" si="4"/>
        <v>0</v>
      </c>
      <c r="P8" s="97">
        <f t="shared" si="4"/>
        <v>0</v>
      </c>
      <c r="Q8" s="97">
        <f t="shared" si="4"/>
        <v>787.8376199999998</v>
      </c>
      <c r="R8" s="97">
        <f t="shared" si="4"/>
        <v>1102.9726679999999</v>
      </c>
      <c r="S8" s="97">
        <f t="shared" si="4"/>
        <v>1260.5401919999997</v>
      </c>
      <c r="T8" s="97">
        <f t="shared" si="4"/>
        <v>1260.5401919999997</v>
      </c>
      <c r="U8" s="97">
        <f t="shared" si="4"/>
        <v>1575.6752399999996</v>
      </c>
      <c r="V8" s="97">
        <f t="shared" si="4"/>
        <v>1299.9320729999997</v>
      </c>
      <c r="W8" s="97">
        <f t="shared" si="4"/>
        <v>1134.4861727999996</v>
      </c>
      <c r="X8" s="97">
        <f t="shared" si="4"/>
        <v>1134.4861727999996</v>
      </c>
      <c r="Y8" s="97">
        <f t="shared" si="4"/>
        <v>1575.6752399999996</v>
      </c>
      <c r="Z8" s="97">
        <f t="shared" si="4"/>
        <v>1260.5401919999997</v>
      </c>
      <c r="AA8" s="97">
        <f t="shared" si="4"/>
        <v>945.4051439999997</v>
      </c>
      <c r="AB8" s="97">
        <f t="shared" si="4"/>
        <v>472.70257199999986</v>
      </c>
      <c r="AC8" s="97">
        <f t="shared" si="4"/>
        <v>13810.793478599999</v>
      </c>
      <c r="AD8" s="97">
        <f t="shared" si="4"/>
        <v>908.0162399999998</v>
      </c>
      <c r="AE8" s="97">
        <f t="shared" si="4"/>
        <v>1271.2227359999997</v>
      </c>
      <c r="AF8" s="97">
        <f t="shared" si="4"/>
        <v>1452.8259839999996</v>
      </c>
      <c r="AG8" s="97">
        <f t="shared" si="4"/>
        <v>1452.8259839999996</v>
      </c>
      <c r="AH8" s="97">
        <f t="shared" si="4"/>
        <v>1816.0324799999996</v>
      </c>
      <c r="AI8" s="97">
        <f t="shared" si="4"/>
        <v>1997.6357279999993</v>
      </c>
      <c r="AJ8" s="97">
        <f t="shared" si="4"/>
        <v>2179.238975999999</v>
      </c>
      <c r="AK8" s="97">
        <f t="shared" si="4"/>
        <v>2070.2770271999993</v>
      </c>
      <c r="AL8" s="97">
        <f t="shared" si="4"/>
        <v>1543.6276079999996</v>
      </c>
      <c r="AM8" s="97">
        <f t="shared" si="4"/>
        <v>1452.8259839999996</v>
      </c>
      <c r="AN8" s="97">
        <f t="shared" si="4"/>
        <v>1089.6194879999996</v>
      </c>
      <c r="AO8" s="97">
        <f t="shared" si="4"/>
        <v>544.8097439999998</v>
      </c>
      <c r="AP8" s="97">
        <f t="shared" si="4"/>
        <v>17778.957979199993</v>
      </c>
      <c r="AQ8" s="97">
        <f t="shared" si="4"/>
        <v>20296.833599999998</v>
      </c>
      <c r="AR8" s="97">
        <f t="shared" si="4"/>
        <v>21365.087999999996</v>
      </c>
      <c r="AS8" s="97">
        <f t="shared" si="4"/>
        <v>21365.087999999996</v>
      </c>
      <c r="AT8" s="97">
        <f t="shared" si="4"/>
        <v>21365.087999999996</v>
      </c>
      <c r="AU8" s="97">
        <f t="shared" si="4"/>
        <v>21365.087999999996</v>
      </c>
    </row>
    <row r="9" spans="1:47" ht="12.75">
      <c r="A9" s="284" t="s">
        <v>199</v>
      </c>
      <c r="B9" s="96">
        <f>P9+AC9+AP9+AQ9+AR9+AS9+AT9+AU9</f>
        <v>137346.93705779995</v>
      </c>
      <c r="C9" s="97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7">
        <f>SUM(D9:O9)</f>
        <v>0</v>
      </c>
      <c r="Q9" s="99">
        <f>Производство!Q13*'Расх перем'!$B$16+Производство!Q14*'Расх перем'!$D$16</f>
        <v>787.8376199999998</v>
      </c>
      <c r="R9" s="99">
        <f>Производство!R13*'Расх перем'!$B$16+Производство!R14*'Расх перем'!$D$16</f>
        <v>1102.9726679999999</v>
      </c>
      <c r="S9" s="99">
        <f>Производство!S13*'Расх перем'!$B$16+Производство!S14*'Расх перем'!$D$16</f>
        <v>1260.5401919999997</v>
      </c>
      <c r="T9" s="99">
        <f>Производство!T13*'Расх перем'!$B$16+Производство!T14*'Расх перем'!$D$16</f>
        <v>1260.5401919999997</v>
      </c>
      <c r="U9" s="99">
        <f>Производство!U13*'Расх перем'!$B$16+Производство!U14*'Расх перем'!$D$16</f>
        <v>1575.6752399999996</v>
      </c>
      <c r="V9" s="99">
        <f>Производство!V13*'Расх перем'!$B$16+Производство!V14*'Расх перем'!$D$16</f>
        <v>1299.9320729999997</v>
      </c>
      <c r="W9" s="99">
        <f>Производство!W13*'Расх перем'!$B$16+Производство!W14*'Расх перем'!$D$16</f>
        <v>1134.4861727999996</v>
      </c>
      <c r="X9" s="99">
        <f>Производство!X13*'Расх перем'!$B$16+Производство!X14*'Расх перем'!$D$16</f>
        <v>1134.4861727999996</v>
      </c>
      <c r="Y9" s="99">
        <f>Производство!Y13*'Расх перем'!$B$16+Производство!Y14*'Расх перем'!$D$16</f>
        <v>1575.6752399999996</v>
      </c>
      <c r="Z9" s="99">
        <f>Производство!Z13*'Расх перем'!$B$16+Производство!Z14*'Расх перем'!$D$16</f>
        <v>1260.5401919999997</v>
      </c>
      <c r="AA9" s="99">
        <f>Производство!AA13*'Расх перем'!$B$16+Производство!AA14*'Расх перем'!$D$16</f>
        <v>945.4051439999997</v>
      </c>
      <c r="AB9" s="99">
        <f>Производство!AB13*'Расх перем'!$B$16+Производство!AB14*'Расх перем'!$D$16</f>
        <v>472.70257199999986</v>
      </c>
      <c r="AC9" s="97">
        <f>SUM(Q9:AB9)</f>
        <v>13810.793478599999</v>
      </c>
      <c r="AD9" s="99">
        <f>Производство!AD13*'Расх перем'!$B$16+Производство!AD14*'Расх перем'!$D$16</f>
        <v>908.0162399999998</v>
      </c>
      <c r="AE9" s="99">
        <f>Производство!AE13*'Расх перем'!$B$16+Производство!AE14*'Расх перем'!$D$16</f>
        <v>1271.2227359999997</v>
      </c>
      <c r="AF9" s="99">
        <f>Производство!AF13*'Расх перем'!$B$16+Производство!AF14*'Расх перем'!$D$16</f>
        <v>1452.8259839999996</v>
      </c>
      <c r="AG9" s="99">
        <f>Производство!AG13*'Расх перем'!$B$16+Производство!AG14*'Расх перем'!$D$16</f>
        <v>1452.8259839999996</v>
      </c>
      <c r="AH9" s="99">
        <f>Производство!AH13*'Расх перем'!$B$16+Производство!AH14*'Расх перем'!$D$16</f>
        <v>1816.0324799999996</v>
      </c>
      <c r="AI9" s="99">
        <f>Производство!AI13*'Расх перем'!$B$16+Производство!AI14*'Расх перем'!$D$16</f>
        <v>1997.6357279999993</v>
      </c>
      <c r="AJ9" s="99">
        <f>Производство!AJ13*'Расх перем'!$B$16+Производство!AJ14*'Расх перем'!$D$16</f>
        <v>2179.238975999999</v>
      </c>
      <c r="AK9" s="99">
        <f>Производство!AK13*'Расх перем'!$B$16+Производство!AK14*'Расх перем'!$D$16</f>
        <v>2070.2770271999993</v>
      </c>
      <c r="AL9" s="99">
        <f>Производство!AL13*'Расх перем'!$B$16+Производство!AL14*'Расх перем'!$D$16</f>
        <v>1543.6276079999996</v>
      </c>
      <c r="AM9" s="99">
        <f>Производство!AM13*'Расх перем'!$B$16+Производство!AM14*'Расх перем'!$D$16</f>
        <v>1452.8259839999996</v>
      </c>
      <c r="AN9" s="99">
        <f>Производство!AN13*'Расх перем'!$B$16+Производство!AN14*'Расх перем'!$D$16</f>
        <v>1089.6194879999996</v>
      </c>
      <c r="AO9" s="99">
        <f>Производство!AO13*'Расх перем'!$B$16+Производство!AO14*'Расх перем'!$D$16</f>
        <v>544.8097439999998</v>
      </c>
      <c r="AP9" s="97">
        <f>SUM(AD9:AO9)</f>
        <v>17778.957979199993</v>
      </c>
      <c r="AQ9" s="99">
        <f>Производство!AQ13*'Расх перем'!$B$16+Производство!AQ14*'Расх перем'!$D$16</f>
        <v>20296.833599999998</v>
      </c>
      <c r="AR9" s="99">
        <f>Производство!AR13*'Расх перем'!$B$16+Производство!AR14*'Расх перем'!$D$16</f>
        <v>21365.087999999996</v>
      </c>
      <c r="AS9" s="99">
        <f>Производство!AS13*'Расх перем'!$B$16+Производство!AS14*'Расх перем'!$D$16</f>
        <v>21365.087999999996</v>
      </c>
      <c r="AT9" s="99">
        <f>Производство!AT13*'Расх перем'!$B$16+Производство!AT14*'Расх перем'!$D$16</f>
        <v>21365.087999999996</v>
      </c>
      <c r="AU9" s="99">
        <f>Производство!AU13*'Расх перем'!$B$16+Производство!AU14*'Расх перем'!$D$16</f>
        <v>21365.087999999996</v>
      </c>
    </row>
    <row r="10" spans="1:47" s="89" customFormat="1" ht="15" customHeight="1">
      <c r="A10" s="95" t="s">
        <v>17</v>
      </c>
      <c r="B10" s="96">
        <f>B5-B8</f>
        <v>131275.39999577147</v>
      </c>
      <c r="C10" s="100"/>
      <c r="D10" s="97">
        <f aca="true" t="shared" si="5" ref="D10:AU10">D5-D8</f>
        <v>0</v>
      </c>
      <c r="E10" s="97">
        <f t="shared" si="5"/>
        <v>0</v>
      </c>
      <c r="F10" s="97">
        <f t="shared" si="5"/>
        <v>0</v>
      </c>
      <c r="G10" s="97">
        <f t="shared" si="5"/>
        <v>0</v>
      </c>
      <c r="H10" s="97">
        <f t="shared" si="5"/>
        <v>0</v>
      </c>
      <c r="I10" s="97">
        <f t="shared" si="5"/>
        <v>0</v>
      </c>
      <c r="J10" s="97">
        <f t="shared" si="5"/>
        <v>0</v>
      </c>
      <c r="K10" s="97">
        <f t="shared" si="5"/>
        <v>0</v>
      </c>
      <c r="L10" s="97">
        <f t="shared" si="5"/>
        <v>0</v>
      </c>
      <c r="M10" s="97">
        <f t="shared" si="5"/>
        <v>0</v>
      </c>
      <c r="N10" s="97">
        <f t="shared" si="5"/>
        <v>0</v>
      </c>
      <c r="O10" s="97">
        <f t="shared" si="5"/>
        <v>0</v>
      </c>
      <c r="P10" s="97">
        <f t="shared" si="5"/>
        <v>0</v>
      </c>
      <c r="Q10" s="97">
        <f t="shared" si="5"/>
        <v>753.0105942857144</v>
      </c>
      <c r="R10" s="97">
        <f t="shared" si="5"/>
        <v>1054.2148320000001</v>
      </c>
      <c r="S10" s="97">
        <f t="shared" si="5"/>
        <v>1204.8169508571425</v>
      </c>
      <c r="T10" s="97">
        <f t="shared" si="5"/>
        <v>1204.8169508571425</v>
      </c>
      <c r="U10" s="97">
        <f t="shared" si="5"/>
        <v>1506.0211885714289</v>
      </c>
      <c r="V10" s="97">
        <f t="shared" si="5"/>
        <v>1242.4674805714287</v>
      </c>
      <c r="W10" s="97">
        <f t="shared" si="5"/>
        <v>1084.3352557714284</v>
      </c>
      <c r="X10" s="97">
        <f t="shared" si="5"/>
        <v>1084.3352557714284</v>
      </c>
      <c r="Y10" s="97">
        <f t="shared" si="5"/>
        <v>1506.0211885714289</v>
      </c>
      <c r="Z10" s="97">
        <f t="shared" si="5"/>
        <v>1204.8169508571425</v>
      </c>
      <c r="AA10" s="97">
        <f t="shared" si="5"/>
        <v>903.6127131428572</v>
      </c>
      <c r="AB10" s="97">
        <f t="shared" si="5"/>
        <v>451.8063565714286</v>
      </c>
      <c r="AC10" s="97">
        <f t="shared" si="5"/>
        <v>13200.275717828566</v>
      </c>
      <c r="AD10" s="97">
        <f t="shared" si="5"/>
        <v>867.8766171428571</v>
      </c>
      <c r="AE10" s="97">
        <f t="shared" si="5"/>
        <v>1215.0272639999998</v>
      </c>
      <c r="AF10" s="97">
        <f t="shared" si="5"/>
        <v>1388.602587428571</v>
      </c>
      <c r="AG10" s="97">
        <f t="shared" si="5"/>
        <v>1388.602587428571</v>
      </c>
      <c r="AH10" s="97">
        <f t="shared" si="5"/>
        <v>1735.7532342857141</v>
      </c>
      <c r="AI10" s="97">
        <f t="shared" si="5"/>
        <v>1909.3285577142851</v>
      </c>
      <c r="AJ10" s="97">
        <f t="shared" si="5"/>
        <v>2082.903881142857</v>
      </c>
      <c r="AK10" s="97">
        <f t="shared" si="5"/>
        <v>1978.7586870857135</v>
      </c>
      <c r="AL10" s="97">
        <f t="shared" si="5"/>
        <v>1475.3902491428573</v>
      </c>
      <c r="AM10" s="97">
        <f t="shared" si="5"/>
        <v>1388.602587428571</v>
      </c>
      <c r="AN10" s="97">
        <f t="shared" si="5"/>
        <v>1041.4519405714284</v>
      </c>
      <c r="AO10" s="97">
        <f t="shared" si="5"/>
        <v>520.7259702857142</v>
      </c>
      <c r="AP10" s="97">
        <f t="shared" si="5"/>
        <v>16993.024163657145</v>
      </c>
      <c r="AQ10" s="97">
        <f t="shared" si="5"/>
        <v>19399.594971428567</v>
      </c>
      <c r="AR10" s="97">
        <f t="shared" si="5"/>
        <v>20420.626285714286</v>
      </c>
      <c r="AS10" s="97">
        <f t="shared" si="5"/>
        <v>20420.626285714286</v>
      </c>
      <c r="AT10" s="97">
        <f t="shared" si="5"/>
        <v>20420.626285714286</v>
      </c>
      <c r="AU10" s="97">
        <f t="shared" si="5"/>
        <v>20420.626285714286</v>
      </c>
    </row>
    <row r="11" spans="1:47" ht="15" customHeight="1">
      <c r="A11" s="101" t="s">
        <v>144</v>
      </c>
      <c r="B11" s="96">
        <f>P11+AC11+AP11+AQ11+AR11+AS11+AT11+AU11</f>
        <v>90286.23256810401</v>
      </c>
      <c r="C11" s="97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7">
        <f aca="true" t="shared" si="6" ref="P11:P16">SUM(D11:O11)</f>
        <v>0</v>
      </c>
      <c r="Q11" s="99">
        <f>Пост!$D$16+Пост!$D$18+Пост!$D$21</f>
        <v>926.2601680357143</v>
      </c>
      <c r="R11" s="99">
        <f>Пост!$D$16+Пост!$D$18+Пост!$D$21</f>
        <v>926.2601680357143</v>
      </c>
      <c r="S11" s="99">
        <f>Пост!$D$16+Пост!$D$18+Пост!$D$21</f>
        <v>926.2601680357143</v>
      </c>
      <c r="T11" s="99">
        <f>Пост!$D$16+Пост!$D$18+Пост!$D$21</f>
        <v>926.2601680357143</v>
      </c>
      <c r="U11" s="99">
        <f>Пост!$D$16+Пост!$D$18+Пост!$D$21</f>
        <v>926.2601680357143</v>
      </c>
      <c r="V11" s="99">
        <f>Пост!$D$16+Пост!$D$18+Пост!$D$21</f>
        <v>926.2601680357143</v>
      </c>
      <c r="W11" s="99">
        <f>Пост!$D$16+Пост!$D$18+Пост!$D$21</f>
        <v>926.2601680357143</v>
      </c>
      <c r="X11" s="99">
        <f>Пост!$D$16+Пост!$D$18+Пост!$D$21</f>
        <v>926.2601680357143</v>
      </c>
      <c r="Y11" s="99">
        <f>Пост!$D$16+Пост!$D$18+Пост!$D$21</f>
        <v>926.2601680357143</v>
      </c>
      <c r="Z11" s="99">
        <f>Пост!$D$16+Пост!$D$18+Пост!$D$21</f>
        <v>926.2601680357143</v>
      </c>
      <c r="AA11" s="99">
        <f>Пост!$D$16+Пост!$D$18+Пост!$D$21</f>
        <v>926.2601680357143</v>
      </c>
      <c r="AB11" s="99">
        <f>Пост!$D$16+Пост!$D$18+Пост!$D$21</f>
        <v>926.2601680357143</v>
      </c>
      <c r="AC11" s="97">
        <f aca="true" t="shared" si="7" ref="AC11:AC16">SUM(Q11:AB11)</f>
        <v>11115.122016428575</v>
      </c>
      <c r="AD11" s="99">
        <f>Пост!$E$16+Пост!$E$18+Пост!$E$21</f>
        <v>972.5123199642858</v>
      </c>
      <c r="AE11" s="99">
        <f>Пост!$E$16+Пост!$E$18+Пост!$E$21</f>
        <v>972.5123199642858</v>
      </c>
      <c r="AF11" s="99">
        <f>Пост!$E$16+Пост!$E$18+Пост!$E$21</f>
        <v>972.5123199642858</v>
      </c>
      <c r="AG11" s="99">
        <f>Пост!$E$16+Пост!$E$18+Пост!$E$21</f>
        <v>972.5123199642858</v>
      </c>
      <c r="AH11" s="99">
        <f>Пост!$E$16+Пост!$E$18+Пост!$E$21</f>
        <v>972.5123199642858</v>
      </c>
      <c r="AI11" s="99">
        <f>Пост!$E$16+Пост!$E$18+Пост!$E$21</f>
        <v>972.5123199642858</v>
      </c>
      <c r="AJ11" s="99">
        <f>Пост!$E$16+Пост!$E$18+Пост!$E$21</f>
        <v>972.5123199642858</v>
      </c>
      <c r="AK11" s="99">
        <f>Пост!$E$16+Пост!$E$18+Пост!$E$21</f>
        <v>972.5123199642858</v>
      </c>
      <c r="AL11" s="99">
        <f>Пост!$E$16+Пост!$E$18+Пост!$E$21</f>
        <v>972.5123199642858</v>
      </c>
      <c r="AM11" s="99">
        <f>Пост!$E$16+Пост!$E$18+Пост!$E$21</f>
        <v>972.5123199642858</v>
      </c>
      <c r="AN11" s="99">
        <f>Пост!$E$16+Пост!$E$18+Пост!$E$21</f>
        <v>972.5123199642858</v>
      </c>
      <c r="AO11" s="99">
        <f>Пост!$E$16+Пост!$E$18+Пост!$E$21</f>
        <v>972.5123199642858</v>
      </c>
      <c r="AP11" s="97">
        <f aca="true" t="shared" si="8" ref="AP11:AP16">SUM(AD11:AO11)</f>
        <v>11670.14783957143</v>
      </c>
      <c r="AQ11" s="99">
        <f>(Пост!F16+Пост!F18+Пост!F21)*12</f>
        <v>12250.124073514287</v>
      </c>
      <c r="AR11" s="99">
        <f>(Пост!G16+Пост!G18+Пост!G21)*12</f>
        <v>12849.766938797142</v>
      </c>
      <c r="AS11" s="99">
        <f>(Пост!H16+Пост!H18+Пост!H21)*12</f>
        <v>13470.502566986996</v>
      </c>
      <c r="AT11" s="99">
        <f>(Пост!I16+Пост!I18+Пост!I21)*12</f>
        <v>14122.684396229206</v>
      </c>
      <c r="AU11" s="99">
        <f>(Пост!J16+Пост!J18+Пост!J21)*12</f>
        <v>14807.884736576378</v>
      </c>
    </row>
    <row r="12" spans="1:47" ht="15" customHeight="1">
      <c r="A12" s="101" t="s">
        <v>77</v>
      </c>
      <c r="B12" s="96">
        <f>P12+AC12+AP12+AQ12+AR12+AS12+AT12+AU12</f>
        <v>4750.178</v>
      </c>
      <c r="C12" s="97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>
        <f>Пост!$C$31/12</f>
        <v>0</v>
      </c>
      <c r="O12" s="99">
        <f>Пост!$C$31/12</f>
        <v>0</v>
      </c>
      <c r="P12" s="97">
        <f t="shared" si="6"/>
        <v>0</v>
      </c>
      <c r="Q12" s="99">
        <f>Пост!$D$31/12</f>
        <v>56.54973809523809</v>
      </c>
      <c r="R12" s="99">
        <f>Пост!$D$31/12</f>
        <v>56.54973809523809</v>
      </c>
      <c r="S12" s="99">
        <f>Пост!$D$31/12</f>
        <v>56.54973809523809</v>
      </c>
      <c r="T12" s="99">
        <f>Пост!$D$31/12</f>
        <v>56.54973809523809</v>
      </c>
      <c r="U12" s="99">
        <f>Пост!$D$31/12</f>
        <v>56.54973809523809</v>
      </c>
      <c r="V12" s="99">
        <f>Пост!$D$31/12</f>
        <v>56.54973809523809</v>
      </c>
      <c r="W12" s="99">
        <f>Пост!$D$31/12</f>
        <v>56.54973809523809</v>
      </c>
      <c r="X12" s="99">
        <f>Пост!$D$31/12</f>
        <v>56.54973809523809</v>
      </c>
      <c r="Y12" s="99">
        <f>Пост!$D$31/12</f>
        <v>56.54973809523809</v>
      </c>
      <c r="Z12" s="99">
        <f>Пост!$D$31/12</f>
        <v>56.54973809523809</v>
      </c>
      <c r="AA12" s="99">
        <f>Пост!$D$31/12</f>
        <v>56.54973809523809</v>
      </c>
      <c r="AB12" s="99">
        <f>Пост!$D$31/12</f>
        <v>56.54973809523809</v>
      </c>
      <c r="AC12" s="97">
        <f t="shared" si="7"/>
        <v>678.5968571428571</v>
      </c>
      <c r="AD12" s="99">
        <f>Пост!$E$31/12</f>
        <v>56.54973809523809</v>
      </c>
      <c r="AE12" s="99">
        <f>Пост!$E$31/12</f>
        <v>56.54973809523809</v>
      </c>
      <c r="AF12" s="99">
        <f>Пост!$E$31/12</f>
        <v>56.54973809523809</v>
      </c>
      <c r="AG12" s="99">
        <f>Пост!$E$31/12</f>
        <v>56.54973809523809</v>
      </c>
      <c r="AH12" s="99">
        <f>Пост!$E$31/12</f>
        <v>56.54973809523809</v>
      </c>
      <c r="AI12" s="99">
        <f>Пост!$E$31/12</f>
        <v>56.54973809523809</v>
      </c>
      <c r="AJ12" s="99">
        <f>Пост!$E$31/12</f>
        <v>56.54973809523809</v>
      </c>
      <c r="AK12" s="99">
        <f>Пост!$E$31/12</f>
        <v>56.54973809523809</v>
      </c>
      <c r="AL12" s="99">
        <f>Пост!$E$31/12</f>
        <v>56.54973809523809</v>
      </c>
      <c r="AM12" s="99">
        <f>Пост!$E$31/12</f>
        <v>56.54973809523809</v>
      </c>
      <c r="AN12" s="99">
        <f>Пост!$E$31/12</f>
        <v>56.54973809523809</v>
      </c>
      <c r="AO12" s="99">
        <f>Пост!$E$31/12</f>
        <v>56.54973809523809</v>
      </c>
      <c r="AP12" s="97">
        <f t="shared" si="8"/>
        <v>678.5968571428571</v>
      </c>
      <c r="AQ12" s="99">
        <f>Пост!F31</f>
        <v>678.5968571428571</v>
      </c>
      <c r="AR12" s="99">
        <f>Пост!G31</f>
        <v>678.5968571428571</v>
      </c>
      <c r="AS12" s="99">
        <f>Пост!H31</f>
        <v>678.5968571428571</v>
      </c>
      <c r="AT12" s="99">
        <f>Пост!I31</f>
        <v>678.5968571428571</v>
      </c>
      <c r="AU12" s="99">
        <f>Пост!J31</f>
        <v>678.5968571428571</v>
      </c>
    </row>
    <row r="13" spans="1:47" ht="15" customHeight="1">
      <c r="A13" s="101" t="s">
        <v>27</v>
      </c>
      <c r="B13" s="96">
        <f>P13+AC13+AP13+AQ13+AR13+AS13+AT13+AU13</f>
        <v>3185.925239168274</v>
      </c>
      <c r="C13" s="97"/>
      <c r="D13" s="99">
        <f>кр!C24</f>
        <v>0</v>
      </c>
      <c r="E13" s="99">
        <f>кр!D24</f>
        <v>0</v>
      </c>
      <c r="F13" s="99">
        <f>кр!E24</f>
        <v>0</v>
      </c>
      <c r="G13" s="99">
        <f>кр!F24</f>
        <v>0</v>
      </c>
      <c r="H13" s="99">
        <f>кр!G24</f>
        <v>0</v>
      </c>
      <c r="I13" s="99">
        <f>кр!H24</f>
        <v>0</v>
      </c>
      <c r="J13" s="99">
        <f>кр!I24</f>
        <v>0</v>
      </c>
      <c r="K13" s="99">
        <f>кр!J24</f>
        <v>0</v>
      </c>
      <c r="L13" s="99">
        <f>кр!K24</f>
        <v>0</v>
      </c>
      <c r="M13" s="99">
        <f>кр!L24</f>
        <v>0</v>
      </c>
      <c r="N13" s="99">
        <f>кр!M24</f>
        <v>57.83249733333334</v>
      </c>
      <c r="O13" s="99">
        <f>кр!N24</f>
        <v>62.16749466666668</v>
      </c>
      <c r="P13" s="97">
        <f t="shared" si="6"/>
        <v>119.99999200000002</v>
      </c>
      <c r="Q13" s="99">
        <f>кр!P24</f>
        <v>62.16749466666668</v>
      </c>
      <c r="R13" s="99">
        <f>кр!Q24</f>
        <v>62.16749466666668</v>
      </c>
      <c r="S13" s="99">
        <f>кр!R24</f>
        <v>62.16749466666668</v>
      </c>
      <c r="T13" s="99">
        <f>кр!S24</f>
        <v>62.16749466666668</v>
      </c>
      <c r="U13" s="99">
        <f>кр!T24</f>
        <v>64.19163207333335</v>
      </c>
      <c r="V13" s="99">
        <f>кр!U24</f>
        <v>64.34335698000001</v>
      </c>
      <c r="W13" s="99">
        <f>кр!V24</f>
        <v>64.34335698000001</v>
      </c>
      <c r="X13" s="99">
        <f>кр!W24</f>
        <v>64.34335698000001</v>
      </c>
      <c r="Y13" s="99">
        <f>кр!X24</f>
        <v>63.70487200048652</v>
      </c>
      <c r="Z13" s="99">
        <f>кр!Y24</f>
        <v>63.014803089627165</v>
      </c>
      <c r="AA13" s="99">
        <f>кр!Z24</f>
        <v>62.3207087767878</v>
      </c>
      <c r="AB13" s="99">
        <f>кр!AA24</f>
        <v>61.62256558045688</v>
      </c>
      <c r="AC13" s="97">
        <f t="shared" si="7"/>
        <v>756.5546311273586</v>
      </c>
      <c r="AD13" s="99">
        <f>кр!AC24</f>
        <v>60.92034988214734</v>
      </c>
      <c r="AE13" s="99">
        <f>кр!AD24</f>
        <v>60.21403792559767</v>
      </c>
      <c r="AF13" s="99">
        <f>кр!AE24</f>
        <v>59.503605815968136</v>
      </c>
      <c r="AG13" s="99">
        <f>кр!AF24</f>
        <v>58.78902951903241</v>
      </c>
      <c r="AH13" s="99">
        <f>кр!AG24</f>
        <v>58.07028486036458</v>
      </c>
      <c r="AI13" s="99">
        <f>кр!AH24</f>
        <v>57.34734752452117</v>
      </c>
      <c r="AJ13" s="99">
        <f>кр!AI24</f>
        <v>56.620193054218696</v>
      </c>
      <c r="AK13" s="99">
        <f>кр!AJ24</f>
        <v>55.88879684950611</v>
      </c>
      <c r="AL13" s="99">
        <f>кр!AK24</f>
        <v>55.15313416693269</v>
      </c>
      <c r="AM13" s="99">
        <f>кр!AL24</f>
        <v>54.41318011871093</v>
      </c>
      <c r="AN13" s="99">
        <f>кр!AM24</f>
        <v>53.66890967187455</v>
      </c>
      <c r="AO13" s="99">
        <f>кр!AN24</f>
        <v>52.920297647431624</v>
      </c>
      <c r="AP13" s="97">
        <f t="shared" si="8"/>
        <v>683.5091670363058</v>
      </c>
      <c r="AQ13" s="99">
        <f>кр!BB24</f>
        <v>575.036481810477</v>
      </c>
      <c r="AR13" s="99">
        <f>кр!BO24</f>
        <v>458.7222973989796</v>
      </c>
      <c r="AS13" s="99">
        <f>кр!CB24</f>
        <v>333.9997511916481</v>
      </c>
      <c r="AT13" s="99">
        <f>кр!CO24</f>
        <v>200.26100203439302</v>
      </c>
      <c r="AU13" s="99">
        <f>кр!DB24</f>
        <v>57.841916569111646</v>
      </c>
    </row>
    <row r="14" spans="1:47" ht="15" customHeight="1">
      <c r="A14" s="101" t="s">
        <v>202</v>
      </c>
      <c r="B14" s="96">
        <f>P14+AC14+AP14+AQ14+AR14+AS14+AT14+AU14</f>
        <v>33053.06418849914</v>
      </c>
      <c r="C14" s="100"/>
      <c r="D14" s="99">
        <f>D10-D11-D13-D12</f>
        <v>0</v>
      </c>
      <c r="E14" s="99">
        <f aca="true" t="shared" si="9" ref="E14:O14">E10-E11-E13-E12</f>
        <v>0</v>
      </c>
      <c r="F14" s="99">
        <f t="shared" si="9"/>
        <v>0</v>
      </c>
      <c r="G14" s="99">
        <f t="shared" si="9"/>
        <v>0</v>
      </c>
      <c r="H14" s="99">
        <f t="shared" si="9"/>
        <v>0</v>
      </c>
      <c r="I14" s="99">
        <f t="shared" si="9"/>
        <v>0</v>
      </c>
      <c r="J14" s="99">
        <f t="shared" si="9"/>
        <v>0</v>
      </c>
      <c r="K14" s="99">
        <f t="shared" si="9"/>
        <v>0</v>
      </c>
      <c r="L14" s="99">
        <f t="shared" si="9"/>
        <v>0</v>
      </c>
      <c r="M14" s="99">
        <f t="shared" si="9"/>
        <v>0</v>
      </c>
      <c r="N14" s="99">
        <f t="shared" si="9"/>
        <v>-57.83249733333334</v>
      </c>
      <c r="O14" s="99">
        <f t="shared" si="9"/>
        <v>-62.16749466666668</v>
      </c>
      <c r="P14" s="97">
        <f t="shared" si="6"/>
        <v>-119.99999200000002</v>
      </c>
      <c r="Q14" s="99">
        <f aca="true" t="shared" si="10" ref="Q14:AB14">Q10-Q11-Q13-Q12</f>
        <v>-291.9668065119046</v>
      </c>
      <c r="R14" s="99">
        <f t="shared" si="10"/>
        <v>9.237431202381067</v>
      </c>
      <c r="S14" s="99">
        <f t="shared" si="10"/>
        <v>159.83955005952345</v>
      </c>
      <c r="T14" s="99">
        <f t="shared" si="10"/>
        <v>159.83955005952345</v>
      </c>
      <c r="U14" s="99">
        <f t="shared" si="10"/>
        <v>459.01965036714313</v>
      </c>
      <c r="V14" s="99">
        <f t="shared" si="10"/>
        <v>195.31421746047633</v>
      </c>
      <c r="W14" s="99">
        <f t="shared" si="10"/>
        <v>37.18199266047598</v>
      </c>
      <c r="X14" s="99">
        <f t="shared" si="10"/>
        <v>37.18199266047598</v>
      </c>
      <c r="Y14" s="99">
        <f t="shared" si="10"/>
        <v>459.50641043999</v>
      </c>
      <c r="Z14" s="99">
        <f t="shared" si="10"/>
        <v>158.99224163656297</v>
      </c>
      <c r="AA14" s="99">
        <f t="shared" si="10"/>
        <v>-141.51790176488302</v>
      </c>
      <c r="AB14" s="99">
        <f t="shared" si="10"/>
        <v>-592.6261151399807</v>
      </c>
      <c r="AC14" s="97">
        <f t="shared" si="7"/>
        <v>650.0022131297841</v>
      </c>
      <c r="AD14" s="99">
        <f aca="true" t="shared" si="11" ref="AD14:AO14">AD10-AD11-AD13-AD12</f>
        <v>-222.10579079881416</v>
      </c>
      <c r="AE14" s="99">
        <f t="shared" si="11"/>
        <v>125.75116801487829</v>
      </c>
      <c r="AF14" s="99">
        <f t="shared" si="11"/>
        <v>300.0369235530791</v>
      </c>
      <c r="AG14" s="99">
        <f t="shared" si="11"/>
        <v>300.7514998500148</v>
      </c>
      <c r="AH14" s="99">
        <f t="shared" si="11"/>
        <v>648.6208913658256</v>
      </c>
      <c r="AI14" s="99">
        <f t="shared" si="11"/>
        <v>822.91915213024</v>
      </c>
      <c r="AJ14" s="99">
        <f t="shared" si="11"/>
        <v>997.2216300291143</v>
      </c>
      <c r="AK14" s="99">
        <f t="shared" si="11"/>
        <v>893.8078321766835</v>
      </c>
      <c r="AL14" s="99">
        <f t="shared" si="11"/>
        <v>391.1750569164008</v>
      </c>
      <c r="AM14" s="99">
        <f t="shared" si="11"/>
        <v>305.12734925033624</v>
      </c>
      <c r="AN14" s="99">
        <f t="shared" si="11"/>
        <v>-41.27902715997003</v>
      </c>
      <c r="AO14" s="99">
        <f t="shared" si="11"/>
        <v>-561.2563854212414</v>
      </c>
      <c r="AP14" s="97">
        <f t="shared" si="8"/>
        <v>3960.770299906547</v>
      </c>
      <c r="AQ14" s="99">
        <f>AQ10-AQ11-AQ13-AQ12</f>
        <v>5895.837558960946</v>
      </c>
      <c r="AR14" s="99">
        <f>AR10-AR11-AR13-AR12</f>
        <v>6433.540192375309</v>
      </c>
      <c r="AS14" s="99">
        <f>AS10-AS11-AS13-AS12</f>
        <v>5937.527110392786</v>
      </c>
      <c r="AT14" s="99">
        <f>AT10-AT11-AT13-AT12</f>
        <v>5419.084030307831</v>
      </c>
      <c r="AU14" s="99">
        <f>AU10-AU11-AU13-AU12</f>
        <v>4876.30277542594</v>
      </c>
    </row>
    <row r="15" spans="1:47" ht="15" customHeight="1">
      <c r="A15" s="101" t="s">
        <v>213</v>
      </c>
      <c r="B15" s="96">
        <f>P15+AC15+AP15+AQ15+AR15+AS15+AT15+AU15</f>
        <v>6610.6128376998295</v>
      </c>
      <c r="C15" s="97"/>
      <c r="D15" s="132">
        <f>IF(D14+C17&lt;0,0,IF(C17&lt;0,(C17+D14)*Исх!$C$20,D14*Исх!$C$20))</f>
        <v>0</v>
      </c>
      <c r="E15" s="132">
        <f>IF(E14+D17&lt;0,0,IF(D17&lt;0,(D17+E14)*Исх!$C$20,E14*Исх!$C$20))</f>
        <v>0</v>
      </c>
      <c r="F15" s="132">
        <f>IF(F14+E17&lt;0,0,IF(E17&lt;0,(E17+F14)*Исх!$C$20,F14*Исх!$C$20))</f>
        <v>0</v>
      </c>
      <c r="G15" s="132">
        <f>IF(G14+F17&lt;0,0,IF(F17&lt;0,(F17+G14)*Исх!$C$20,G14*Исх!$C$20))</f>
        <v>0</v>
      </c>
      <c r="H15" s="132">
        <f>IF(H14+G17&lt;0,0,IF(G17&lt;0,(G17+H14)*Исх!$C$20,H14*Исх!$C$20))</f>
        <v>0</v>
      </c>
      <c r="I15" s="132">
        <f>IF(I14+H17&lt;0,0,IF(H17&lt;0,(H17+I14)*Исх!$C$20,I14*Исх!$C$20))</f>
        <v>0</v>
      </c>
      <c r="J15" s="132">
        <f>IF(J14+I17&lt;0,0,IF(I17&lt;0,(I17+J14)*Исх!$C$20,J14*Исх!$C$20))</f>
        <v>0</v>
      </c>
      <c r="K15" s="132">
        <f>IF(K14+J17&lt;0,0,IF(J17&lt;0,(J17+K14)*Исх!$C$20,K14*Исх!$C$20))</f>
        <v>0</v>
      </c>
      <c r="L15" s="132">
        <f>IF(L14+K17&lt;0,0,IF(K17&lt;0,(K17+L14)*Исх!$C$20,L14*Исх!$C$20))</f>
        <v>0</v>
      </c>
      <c r="M15" s="132">
        <f>IF(M14+L17&lt;0,0,IF(L17&lt;0,(L17+M14)*Исх!$C$20,M14*Исх!$C$20))</f>
        <v>0</v>
      </c>
      <c r="N15" s="132">
        <f>IF(N14+M17&lt;0,0,IF(M17&lt;0,(M17+N14)*Исх!$C$20,N14*Исх!$C$20))</f>
        <v>0</v>
      </c>
      <c r="O15" s="132">
        <f>IF(O14+N17&lt;0,0,IF(N17&lt;0,(N17+O14)*Исх!$C$20,O14*Исх!$C$20))</f>
        <v>0</v>
      </c>
      <c r="P15" s="97">
        <f t="shared" si="6"/>
        <v>0</v>
      </c>
      <c r="Q15" s="132">
        <f>IF(Q14+P17&lt;0,0,IF(P17&lt;0,(P17+Q14)*Исх!$C$20,Q14*Исх!$C$20))</f>
        <v>0</v>
      </c>
      <c r="R15" s="132">
        <f>IF(R14+Q17&lt;0,0,IF(Q17&lt;0,(Q17+R14)*Исх!$C$20,R14*Исх!$C$20))</f>
        <v>0</v>
      </c>
      <c r="S15" s="132">
        <f>IF(S14+R17&lt;0,0,IF(R17&lt;0,(R17+S14)*Исх!$C$20,S14*Исх!$C$20))</f>
        <v>0</v>
      </c>
      <c r="T15" s="132">
        <f>IF(T14+S17&lt;0,0,IF(S17&lt;0,(S17+T14)*Исх!$C$20,T14*Исх!$C$20))</f>
        <v>0</v>
      </c>
      <c r="U15" s="132">
        <f>IF(U14+T17&lt;0,0,IF(T17&lt;0,(T17+U14)*Исх!$C$20,U14*Исх!$C$20))</f>
        <v>75.1938766353333</v>
      </c>
      <c r="V15" s="132">
        <f>IF(V14+U17&lt;0,0,IF(U17&lt;0,(U17+V14)*Исх!$C$20,V14*Исх!$C$20))</f>
        <v>39.06284349209527</v>
      </c>
      <c r="W15" s="132">
        <f>IF(W14+V17&lt;0,0,IF(V17&lt;0,(V17+W14)*Исх!$C$20,W14*Исх!$C$20))</f>
        <v>7.436398532095196</v>
      </c>
      <c r="X15" s="132">
        <f>IF(X14+W17&lt;0,0,IF(W17&lt;0,(W17+X14)*Исх!$C$20,X14*Исх!$C$20))</f>
        <v>7.436398532095196</v>
      </c>
      <c r="Y15" s="132">
        <f>IF(Y14+X17&lt;0,0,IF(X17&lt;0,(X17+Y14)*Исх!$C$20,Y14*Исх!$C$20))</f>
        <v>91.90128208799801</v>
      </c>
      <c r="Z15" s="132">
        <f>IF(Z14+Y17&lt;0,0,IF(Y17&lt;0,(Y17+Z14)*Исх!$C$20,Z14*Исх!$C$20))</f>
        <v>31.798448327312595</v>
      </c>
      <c r="AA15" s="132">
        <f>IF(AA14+Z17&lt;0,0,IF(Z17&lt;0,(Z17+AA14)*Исх!$C$20,AA14*Исх!$C$20))</f>
        <v>-28.303580352976606</v>
      </c>
      <c r="AB15" s="132">
        <f>IF(AB14+AA17&lt;0,0,IF(AA17&lt;0,(AA17+AB14)*Исх!$C$20,AB14*Исх!$C$20))</f>
        <v>-118.52522302799615</v>
      </c>
      <c r="AC15" s="97">
        <f t="shared" si="7"/>
        <v>106.00044422595683</v>
      </c>
      <c r="AD15" s="132">
        <f>IF(AD14+AC17&lt;0,0,IF(AC17&lt;0,(AC17+AD14)*Исх!$C$20,AD14*Исх!$C$20))</f>
        <v>-44.42115815976283</v>
      </c>
      <c r="AE15" s="132">
        <f>IF(AE14+AD17&lt;0,0,IF(AD17&lt;0,(AD17+AE14)*Исх!$C$20,AE14*Исх!$C$20))</f>
        <v>25.15023360297566</v>
      </c>
      <c r="AF15" s="132">
        <f>IF(AF14+AE17&lt;0,0,IF(AE17&lt;0,(AE17+AF14)*Исх!$C$20,AF14*Исх!$C$20))</f>
        <v>60.00738471061582</v>
      </c>
      <c r="AG15" s="132">
        <f>IF(AG14+AF17&lt;0,0,IF(AF17&lt;0,(AF17+AG14)*Исх!$C$20,AG14*Исх!$C$20))</f>
        <v>60.15029997000296</v>
      </c>
      <c r="AH15" s="132">
        <f>IF(AH14+AG17&lt;0,0,IF(AG17&lt;0,(AG17+AH14)*Исх!$C$20,AH14*Исх!$C$20))</f>
        <v>129.72417827316514</v>
      </c>
      <c r="AI15" s="132">
        <f>IF(AI14+AH17&lt;0,0,IF(AH17&lt;0,(AH17+AI14)*Исх!$C$20,AI14*Исх!$C$20))</f>
        <v>164.58383042604802</v>
      </c>
      <c r="AJ15" s="132">
        <f>IF(AJ14+AI17&lt;0,0,IF(AI17&lt;0,(AI17+AJ14)*Исх!$C$20,AJ14*Исх!$C$20))</f>
        <v>199.44432600582286</v>
      </c>
      <c r="AK15" s="132">
        <f>IF(AK14+AJ17&lt;0,0,IF(AJ17&lt;0,(AJ17+AK14)*Исх!$C$20,AK14*Исх!$C$20))</f>
        <v>178.7615664353367</v>
      </c>
      <c r="AL15" s="132">
        <f>IF(AL14+AK17&lt;0,0,IF(AK17&lt;0,(AK17+AL14)*Исх!$C$20,AL14*Исх!$C$20))</f>
        <v>78.23501138328017</v>
      </c>
      <c r="AM15" s="132">
        <f>IF(AM14+AL17&lt;0,0,IF(AL17&lt;0,(AL17+AM14)*Исх!$C$20,AM14*Исх!$C$20))</f>
        <v>61.02546985006725</v>
      </c>
      <c r="AN15" s="132">
        <f>IF(AN14+AM17&lt;0,0,IF(AM17&lt;0,(AM17+AN14)*Исх!$C$20,AN14*Исх!$C$20))</f>
        <v>-8.255805431994006</v>
      </c>
      <c r="AO15" s="132">
        <f>IF(AO14+AN17&lt;0,0,IF(AN17&lt;0,(AN17+AO14)*Исх!$C$20,AO14*Исх!$C$20))</f>
        <v>-112.25127708424827</v>
      </c>
      <c r="AP15" s="97">
        <f t="shared" si="8"/>
        <v>792.1540599813095</v>
      </c>
      <c r="AQ15" s="132">
        <f>IF(AQ14+AP17&lt;0,0,IF(AP17&lt;0,(AP17+AQ14)*Исх!$C$20,AQ14*Исх!$C$20))</f>
        <v>1179.1675117921893</v>
      </c>
      <c r="AR15" s="132">
        <f>IF(AR14+AQ17&lt;0,0,IF(AQ17&lt;0,(AQ17+AR14)*Исх!$C$20,AR14*Исх!$C$20))</f>
        <v>1286.7080384750618</v>
      </c>
      <c r="AS15" s="132">
        <f>IF(AS14+AR17&lt;0,0,IF(AR17&lt;0,(AR17+AS14)*Исх!$C$20,AS14*Исх!$C$20))</f>
        <v>1187.5054220785573</v>
      </c>
      <c r="AT15" s="132">
        <f>IF(AT14+AS17&lt;0,0,IF(AS17&lt;0,(AS17+AT14)*Исх!$C$20,AT14*Исх!$C$20))</f>
        <v>1083.8168060615662</v>
      </c>
      <c r="AU15" s="132">
        <f>IF(AU14+AT17&lt;0,0,IF(AT17&lt;0,(AT17+AU14)*Исх!$C$20,AU14*Исх!$C$20))</f>
        <v>975.2605550851881</v>
      </c>
    </row>
    <row r="16" spans="1:47" ht="15" customHeight="1">
      <c r="A16" s="101" t="s">
        <v>4</v>
      </c>
      <c r="B16" s="96">
        <f>B14-B15</f>
        <v>26442.45135079931</v>
      </c>
      <c r="C16" s="100"/>
      <c r="D16" s="99">
        <f aca="true" t="shared" si="12" ref="D16:Q16">D14-D15</f>
        <v>0</v>
      </c>
      <c r="E16" s="99">
        <f>E14-E15</f>
        <v>0</v>
      </c>
      <c r="F16" s="99">
        <f t="shared" si="12"/>
        <v>0</v>
      </c>
      <c r="G16" s="99">
        <f t="shared" si="12"/>
        <v>0</v>
      </c>
      <c r="H16" s="99">
        <f t="shared" si="12"/>
        <v>0</v>
      </c>
      <c r="I16" s="99">
        <f t="shared" si="12"/>
        <v>0</v>
      </c>
      <c r="J16" s="99">
        <f t="shared" si="12"/>
        <v>0</v>
      </c>
      <c r="K16" s="99">
        <f t="shared" si="12"/>
        <v>0</v>
      </c>
      <c r="L16" s="99">
        <f t="shared" si="12"/>
        <v>0</v>
      </c>
      <c r="M16" s="99">
        <f t="shared" si="12"/>
        <v>0</v>
      </c>
      <c r="N16" s="99">
        <f t="shared" si="12"/>
        <v>-57.83249733333334</v>
      </c>
      <c r="O16" s="99">
        <f t="shared" si="12"/>
        <v>-62.16749466666668</v>
      </c>
      <c r="P16" s="97">
        <f t="shared" si="6"/>
        <v>-119.99999200000002</v>
      </c>
      <c r="Q16" s="99">
        <f t="shared" si="12"/>
        <v>-291.9668065119046</v>
      </c>
      <c r="R16" s="99">
        <f aca="true" t="shared" si="13" ref="R16:AR16">R14-R15</f>
        <v>9.237431202381067</v>
      </c>
      <c r="S16" s="99">
        <f t="shared" si="13"/>
        <v>159.83955005952345</v>
      </c>
      <c r="T16" s="99">
        <f t="shared" si="13"/>
        <v>159.83955005952345</v>
      </c>
      <c r="U16" s="99">
        <f t="shared" si="13"/>
        <v>383.8257737318098</v>
      </c>
      <c r="V16" s="99">
        <f t="shared" si="13"/>
        <v>156.25137396838107</v>
      </c>
      <c r="W16" s="99">
        <f t="shared" si="13"/>
        <v>29.74559412838078</v>
      </c>
      <c r="X16" s="99">
        <f t="shared" si="13"/>
        <v>29.74559412838078</v>
      </c>
      <c r="Y16" s="99">
        <f t="shared" si="13"/>
        <v>367.605128351992</v>
      </c>
      <c r="Z16" s="99">
        <f t="shared" si="13"/>
        <v>127.19379330925037</v>
      </c>
      <c r="AA16" s="99">
        <f t="shared" si="13"/>
        <v>-113.21432141190641</v>
      </c>
      <c r="AB16" s="99">
        <f t="shared" si="13"/>
        <v>-474.10089211198454</v>
      </c>
      <c r="AC16" s="97">
        <f t="shared" si="7"/>
        <v>544.0017689038269</v>
      </c>
      <c r="AD16" s="99">
        <f aca="true" t="shared" si="14" ref="AD16:AO16">AD14-AD15</f>
        <v>-177.68463263905133</v>
      </c>
      <c r="AE16" s="99">
        <f t="shared" si="14"/>
        <v>100.60093441190263</v>
      </c>
      <c r="AF16" s="99">
        <f t="shared" si="14"/>
        <v>240.02953884246327</v>
      </c>
      <c r="AG16" s="99">
        <f t="shared" si="14"/>
        <v>240.60119988001185</v>
      </c>
      <c r="AH16" s="99">
        <f t="shared" si="14"/>
        <v>518.8967130926605</v>
      </c>
      <c r="AI16" s="99">
        <f t="shared" si="14"/>
        <v>658.335321704192</v>
      </c>
      <c r="AJ16" s="99">
        <f t="shared" si="14"/>
        <v>797.7773040232914</v>
      </c>
      <c r="AK16" s="99">
        <f t="shared" si="14"/>
        <v>715.0462657413468</v>
      </c>
      <c r="AL16" s="99">
        <f t="shared" si="14"/>
        <v>312.94004553312067</v>
      </c>
      <c r="AM16" s="99">
        <f t="shared" si="14"/>
        <v>244.10187940026898</v>
      </c>
      <c r="AN16" s="99">
        <f t="shared" si="14"/>
        <v>-33.02322172797602</v>
      </c>
      <c r="AO16" s="99">
        <f t="shared" si="14"/>
        <v>-449.0051083369931</v>
      </c>
      <c r="AP16" s="97">
        <f t="shared" si="8"/>
        <v>3168.616239925238</v>
      </c>
      <c r="AQ16" s="99">
        <f t="shared" si="13"/>
        <v>4716.670047168756</v>
      </c>
      <c r="AR16" s="99">
        <f t="shared" si="13"/>
        <v>5146.832153900247</v>
      </c>
      <c r="AS16" s="99">
        <f>AS14-AS15</f>
        <v>4750.021688314229</v>
      </c>
      <c r="AT16" s="99">
        <f>AT14-AT15</f>
        <v>4335.267224246265</v>
      </c>
      <c r="AU16" s="99">
        <f>AU14-AU15</f>
        <v>3901.042220340752</v>
      </c>
    </row>
    <row r="17" spans="1:47" ht="15" customHeight="1">
      <c r="A17" s="101" t="s">
        <v>32</v>
      </c>
      <c r="B17" s="102">
        <f>AU17</f>
        <v>26442.45135079931</v>
      </c>
      <c r="C17" s="103"/>
      <c r="D17" s="99">
        <f>C17+D16</f>
        <v>0</v>
      </c>
      <c r="E17" s="99">
        <f>D17+E16</f>
        <v>0</v>
      </c>
      <c r="F17" s="99">
        <f aca="true" t="shared" si="15" ref="F17:O17">E17+F16</f>
        <v>0</v>
      </c>
      <c r="G17" s="99">
        <f t="shared" si="15"/>
        <v>0</v>
      </c>
      <c r="H17" s="99">
        <f t="shared" si="15"/>
        <v>0</v>
      </c>
      <c r="I17" s="99">
        <f t="shared" si="15"/>
        <v>0</v>
      </c>
      <c r="J17" s="99">
        <f t="shared" si="15"/>
        <v>0</v>
      </c>
      <c r="K17" s="99">
        <f t="shared" si="15"/>
        <v>0</v>
      </c>
      <c r="L17" s="99">
        <f t="shared" si="15"/>
        <v>0</v>
      </c>
      <c r="M17" s="99">
        <f t="shared" si="15"/>
        <v>0</v>
      </c>
      <c r="N17" s="99">
        <f t="shared" si="15"/>
        <v>-57.83249733333334</v>
      </c>
      <c r="O17" s="99">
        <f t="shared" si="15"/>
        <v>-119.99999200000002</v>
      </c>
      <c r="P17" s="97">
        <f>O17</f>
        <v>-119.99999200000002</v>
      </c>
      <c r="Q17" s="99">
        <f>P17+Q16</f>
        <v>-411.96679851190464</v>
      </c>
      <c r="R17" s="99">
        <f aca="true" t="shared" si="16" ref="R17:AA17">Q17+R16</f>
        <v>-402.7293673095236</v>
      </c>
      <c r="S17" s="99">
        <f t="shared" si="16"/>
        <v>-242.88981725000014</v>
      </c>
      <c r="T17" s="99">
        <f t="shared" si="16"/>
        <v>-83.05026719047669</v>
      </c>
      <c r="U17" s="99">
        <f t="shared" si="16"/>
        <v>300.77550654133313</v>
      </c>
      <c r="V17" s="99">
        <f t="shared" si="16"/>
        <v>457.0268805097142</v>
      </c>
      <c r="W17" s="99">
        <f t="shared" si="16"/>
        <v>486.772474638095</v>
      </c>
      <c r="X17" s="99">
        <f t="shared" si="16"/>
        <v>516.5180687664757</v>
      </c>
      <c r="Y17" s="99">
        <f t="shared" si="16"/>
        <v>884.1231971184677</v>
      </c>
      <c r="Z17" s="99">
        <f t="shared" si="16"/>
        <v>1011.3169904277181</v>
      </c>
      <c r="AA17" s="99">
        <f t="shared" si="16"/>
        <v>898.1026690158117</v>
      </c>
      <c r="AB17" s="99">
        <f>AA17+AB16</f>
        <v>424.00177690382714</v>
      </c>
      <c r="AC17" s="97">
        <f>AB17</f>
        <v>424.00177690382714</v>
      </c>
      <c r="AD17" s="99">
        <f aca="true" t="shared" si="17" ref="AD17:AO17">AC17+AD16</f>
        <v>246.3171442647758</v>
      </c>
      <c r="AE17" s="99">
        <f t="shared" si="17"/>
        <v>346.9180786766784</v>
      </c>
      <c r="AF17" s="99">
        <f t="shared" si="17"/>
        <v>586.9476175191417</v>
      </c>
      <c r="AG17" s="99">
        <f t="shared" si="17"/>
        <v>827.5488173991534</v>
      </c>
      <c r="AH17" s="99">
        <f t="shared" si="17"/>
        <v>1346.445530491814</v>
      </c>
      <c r="AI17" s="99">
        <f t="shared" si="17"/>
        <v>2004.780852196006</v>
      </c>
      <c r="AJ17" s="99">
        <f t="shared" si="17"/>
        <v>2802.5581562192974</v>
      </c>
      <c r="AK17" s="99">
        <f t="shared" si="17"/>
        <v>3517.6044219606442</v>
      </c>
      <c r="AL17" s="99">
        <f t="shared" si="17"/>
        <v>3830.544467493765</v>
      </c>
      <c r="AM17" s="99">
        <f t="shared" si="17"/>
        <v>4074.6463468940337</v>
      </c>
      <c r="AN17" s="99">
        <f t="shared" si="17"/>
        <v>4041.623125166058</v>
      </c>
      <c r="AO17" s="99">
        <f t="shared" si="17"/>
        <v>3592.618016829065</v>
      </c>
      <c r="AP17" s="97">
        <f>AO17</f>
        <v>3592.618016829065</v>
      </c>
      <c r="AQ17" s="99">
        <f>AP17+AQ16</f>
        <v>8309.288063997821</v>
      </c>
      <c r="AR17" s="99">
        <f>AQ17+AR16</f>
        <v>13456.120217898067</v>
      </c>
      <c r="AS17" s="99">
        <f>AR17+AS16</f>
        <v>18206.141906212295</v>
      </c>
      <c r="AT17" s="99">
        <f>AS17+AT16</f>
        <v>22541.40913045856</v>
      </c>
      <c r="AU17" s="99">
        <f>AT17+AU16</f>
        <v>26442.45135079931</v>
      </c>
    </row>
    <row r="18" spans="1:190" ht="1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</row>
    <row r="19" spans="1:47" ht="12.75">
      <c r="A19" s="106" t="s">
        <v>53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60" s="110" customFormat="1" ht="12.75">
      <c r="A20" s="338" t="s">
        <v>3</v>
      </c>
      <c r="B20" s="341" t="s">
        <v>89</v>
      </c>
      <c r="C20" s="107"/>
      <c r="D20" s="331">
        <f>D3</f>
        <v>2013</v>
      </c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4"/>
      <c r="Q20" s="331">
        <f>Q3</f>
        <v>2014</v>
      </c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4"/>
      <c r="AD20" s="330">
        <f>AD3</f>
        <v>2015</v>
      </c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2"/>
      <c r="AQ20" s="108">
        <f>AQ3</f>
        <v>2016</v>
      </c>
      <c r="AR20" s="108">
        <f>AR3</f>
        <v>2017</v>
      </c>
      <c r="AS20" s="108">
        <f>AS3</f>
        <v>2018</v>
      </c>
      <c r="AT20" s="108">
        <f>AT3</f>
        <v>2019</v>
      </c>
      <c r="AU20" s="108">
        <f>AU3</f>
        <v>2020</v>
      </c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</row>
    <row r="21" spans="1:60" s="110" customFormat="1" ht="12.75">
      <c r="A21" s="339"/>
      <c r="B21" s="342"/>
      <c r="C21" s="111"/>
      <c r="D21" s="112">
        <f>D4</f>
        <v>1</v>
      </c>
      <c r="E21" s="112">
        <f aca="true" t="shared" si="18" ref="E21:O21">E4</f>
        <v>2</v>
      </c>
      <c r="F21" s="112">
        <f t="shared" si="18"/>
        <v>3</v>
      </c>
      <c r="G21" s="112">
        <f t="shared" si="18"/>
        <v>4</v>
      </c>
      <c r="H21" s="112">
        <f t="shared" si="18"/>
        <v>5</v>
      </c>
      <c r="I21" s="112">
        <f t="shared" si="18"/>
        <v>6</v>
      </c>
      <c r="J21" s="112">
        <f t="shared" si="18"/>
        <v>7</v>
      </c>
      <c r="K21" s="112">
        <f t="shared" si="18"/>
        <v>8</v>
      </c>
      <c r="L21" s="112">
        <f t="shared" si="18"/>
        <v>9</v>
      </c>
      <c r="M21" s="112">
        <f t="shared" si="18"/>
        <v>10</v>
      </c>
      <c r="N21" s="112">
        <f t="shared" si="18"/>
        <v>11</v>
      </c>
      <c r="O21" s="112">
        <f t="shared" si="18"/>
        <v>12</v>
      </c>
      <c r="P21" s="113" t="s">
        <v>0</v>
      </c>
      <c r="Q21" s="112">
        <f>Q4</f>
        <v>1</v>
      </c>
      <c r="R21" s="112">
        <f aca="true" t="shared" si="19" ref="R21:AB21">R4</f>
        <v>2</v>
      </c>
      <c r="S21" s="112">
        <f t="shared" si="19"/>
        <v>3</v>
      </c>
      <c r="T21" s="112">
        <f t="shared" si="19"/>
        <v>4</v>
      </c>
      <c r="U21" s="112">
        <f t="shared" si="19"/>
        <v>5</v>
      </c>
      <c r="V21" s="112">
        <f t="shared" si="19"/>
        <v>6</v>
      </c>
      <c r="W21" s="112">
        <f t="shared" si="19"/>
        <v>7</v>
      </c>
      <c r="X21" s="112">
        <f t="shared" si="19"/>
        <v>8</v>
      </c>
      <c r="Y21" s="112">
        <f t="shared" si="19"/>
        <v>9</v>
      </c>
      <c r="Z21" s="112">
        <f t="shared" si="19"/>
        <v>10</v>
      </c>
      <c r="AA21" s="112">
        <f t="shared" si="19"/>
        <v>11</v>
      </c>
      <c r="AB21" s="112">
        <f t="shared" si="19"/>
        <v>12</v>
      </c>
      <c r="AC21" s="113" t="s">
        <v>0</v>
      </c>
      <c r="AD21" s="112">
        <f>AD4</f>
        <v>1</v>
      </c>
      <c r="AE21" s="112">
        <f aca="true" t="shared" si="20" ref="AE21:AO21">AE4</f>
        <v>2</v>
      </c>
      <c r="AF21" s="112">
        <f t="shared" si="20"/>
        <v>3</v>
      </c>
      <c r="AG21" s="112">
        <f t="shared" si="20"/>
        <v>4</v>
      </c>
      <c r="AH21" s="112">
        <f t="shared" si="20"/>
        <v>5</v>
      </c>
      <c r="AI21" s="112">
        <f t="shared" si="20"/>
        <v>6</v>
      </c>
      <c r="AJ21" s="112">
        <f t="shared" si="20"/>
        <v>7</v>
      </c>
      <c r="AK21" s="112">
        <f t="shared" si="20"/>
        <v>8</v>
      </c>
      <c r="AL21" s="112">
        <f t="shared" si="20"/>
        <v>9</v>
      </c>
      <c r="AM21" s="112">
        <f t="shared" si="20"/>
        <v>10</v>
      </c>
      <c r="AN21" s="112">
        <f t="shared" si="20"/>
        <v>11</v>
      </c>
      <c r="AO21" s="112">
        <f t="shared" si="20"/>
        <v>12</v>
      </c>
      <c r="AP21" s="113" t="s">
        <v>0</v>
      </c>
      <c r="AQ21" s="113" t="s">
        <v>111</v>
      </c>
      <c r="AR21" s="113" t="s">
        <v>111</v>
      </c>
      <c r="AS21" s="113" t="s">
        <v>111</v>
      </c>
      <c r="AT21" s="113" t="s">
        <v>111</v>
      </c>
      <c r="AU21" s="113" t="s">
        <v>111</v>
      </c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</row>
    <row r="22" spans="1:60" s="110" customFormat="1" ht="12.7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</row>
    <row r="23" spans="1:60" s="110" customFormat="1" ht="12.75">
      <c r="A23" s="114" t="s">
        <v>162</v>
      </c>
      <c r="B23" s="96">
        <f>P23+AC23+AP23+AQ23+AR23+AS23+AT23+AU23</f>
        <v>32234.680446428567</v>
      </c>
      <c r="C23" s="116"/>
      <c r="D23" s="116">
        <f aca="true" t="shared" si="21" ref="D23:O23">D5*ндс</f>
        <v>0</v>
      </c>
      <c r="E23" s="116">
        <f t="shared" si="21"/>
        <v>0</v>
      </c>
      <c r="F23" s="116">
        <f t="shared" si="21"/>
        <v>0</v>
      </c>
      <c r="G23" s="116">
        <f t="shared" si="21"/>
        <v>0</v>
      </c>
      <c r="H23" s="116">
        <f t="shared" si="21"/>
        <v>0</v>
      </c>
      <c r="I23" s="116">
        <f t="shared" si="21"/>
        <v>0</v>
      </c>
      <c r="J23" s="116">
        <f t="shared" si="21"/>
        <v>0</v>
      </c>
      <c r="K23" s="116">
        <f t="shared" si="21"/>
        <v>0</v>
      </c>
      <c r="L23" s="116">
        <f t="shared" si="21"/>
        <v>0</v>
      </c>
      <c r="M23" s="116">
        <f t="shared" si="21"/>
        <v>0</v>
      </c>
      <c r="N23" s="116">
        <f t="shared" si="21"/>
        <v>0</v>
      </c>
      <c r="O23" s="116">
        <f t="shared" si="21"/>
        <v>0</v>
      </c>
      <c r="P23" s="117">
        <f>SUM(D23:O23)</f>
        <v>0</v>
      </c>
      <c r="Q23" s="116">
        <f aca="true" t="shared" si="22" ref="Q23:AB23">Q5*ндс</f>
        <v>184.9017857142857</v>
      </c>
      <c r="R23" s="116">
        <f t="shared" si="22"/>
        <v>258.8625</v>
      </c>
      <c r="S23" s="116">
        <f t="shared" si="22"/>
        <v>295.84285714285704</v>
      </c>
      <c r="T23" s="116">
        <f t="shared" si="22"/>
        <v>295.84285714285704</v>
      </c>
      <c r="U23" s="116">
        <f t="shared" si="22"/>
        <v>369.8035714285714</v>
      </c>
      <c r="V23" s="116">
        <f t="shared" si="22"/>
        <v>305.0879464285714</v>
      </c>
      <c r="W23" s="116">
        <f t="shared" si="22"/>
        <v>266.2585714285714</v>
      </c>
      <c r="X23" s="116">
        <f t="shared" si="22"/>
        <v>266.2585714285714</v>
      </c>
      <c r="Y23" s="116">
        <f t="shared" si="22"/>
        <v>369.8035714285714</v>
      </c>
      <c r="Z23" s="116">
        <f t="shared" si="22"/>
        <v>295.84285714285704</v>
      </c>
      <c r="AA23" s="116">
        <f t="shared" si="22"/>
        <v>221.8821428571428</v>
      </c>
      <c r="AB23" s="116">
        <f t="shared" si="22"/>
        <v>110.9410714285714</v>
      </c>
      <c r="AC23" s="117">
        <f>SUM(Q23:AB23)</f>
        <v>3241.3283035714285</v>
      </c>
      <c r="AD23" s="116">
        <f aca="true" t="shared" si="23" ref="AD23:AO23">AD5*ндс</f>
        <v>213.1071428571428</v>
      </c>
      <c r="AE23" s="116">
        <f t="shared" si="23"/>
        <v>298.3499999999999</v>
      </c>
      <c r="AF23" s="116">
        <f t="shared" si="23"/>
        <v>340.9714285714285</v>
      </c>
      <c r="AG23" s="116">
        <f t="shared" si="23"/>
        <v>340.9714285714285</v>
      </c>
      <c r="AH23" s="116">
        <f t="shared" si="23"/>
        <v>426.2142857142856</v>
      </c>
      <c r="AI23" s="116">
        <f t="shared" si="23"/>
        <v>468.8357142857141</v>
      </c>
      <c r="AJ23" s="116">
        <f t="shared" si="23"/>
        <v>511.4571428571427</v>
      </c>
      <c r="AK23" s="116">
        <f t="shared" si="23"/>
        <v>485.8842857142855</v>
      </c>
      <c r="AL23" s="116">
        <f t="shared" si="23"/>
        <v>362.2821428571428</v>
      </c>
      <c r="AM23" s="116">
        <f t="shared" si="23"/>
        <v>340.9714285714285</v>
      </c>
      <c r="AN23" s="116">
        <f t="shared" si="23"/>
        <v>255.72857142857134</v>
      </c>
      <c r="AO23" s="116">
        <f t="shared" si="23"/>
        <v>127.86428571428567</v>
      </c>
      <c r="AP23" s="117">
        <f>SUM(AD23:AO23)</f>
        <v>4172.637857142856</v>
      </c>
      <c r="AQ23" s="116">
        <f>AQ5*ндс</f>
        <v>4763.5714285714275</v>
      </c>
      <c r="AR23" s="116">
        <f>AR5*ндс</f>
        <v>5014.285714285714</v>
      </c>
      <c r="AS23" s="116">
        <f>AS5*ндс</f>
        <v>5014.285714285714</v>
      </c>
      <c r="AT23" s="116">
        <f>AT5*ндс</f>
        <v>5014.285714285714</v>
      </c>
      <c r="AU23" s="116">
        <f>AU5*ндс</f>
        <v>5014.285714285714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</row>
    <row r="24" spans="1:60" s="110" customFormat="1" ht="12.75">
      <c r="A24" s="114" t="s">
        <v>163</v>
      </c>
      <c r="B24" s="96">
        <f>P24+AC24+AP24+AQ24+AR24+AS24+AT24+AU24</f>
        <v>20918.500208924994</v>
      </c>
      <c r="C24" s="116"/>
      <c r="D24" s="116"/>
      <c r="E24" s="116"/>
      <c r="F24" s="116"/>
      <c r="G24" s="116"/>
      <c r="H24" s="116"/>
      <c r="I24" s="276">
        <f>('1-Ф3'!I13/Исх!$C$19-'2-ф2'!I9)*ндс</f>
        <v>0</v>
      </c>
      <c r="J24" s="116"/>
      <c r="K24" s="116"/>
      <c r="L24" s="116"/>
      <c r="M24" s="116"/>
      <c r="N24" s="116"/>
      <c r="O24" s="116">
        <f>('1-Ф3'!O13/Исх!$C$19)*ндс</f>
        <v>149.55561599999996</v>
      </c>
      <c r="P24" s="117">
        <f>SUM(D24:O24)</f>
        <v>149.55561599999996</v>
      </c>
      <c r="Q24" s="116">
        <f>('1-Ф3'!Q13/Исх!$C$19+Q11-Пост!$D$5-Пост!$D$18-Пост!$D$21)*ндс</f>
        <v>190.46187599999996</v>
      </c>
      <c r="R24" s="116">
        <f>('1-Ф3'!R13/Исх!$C$19+R11-Пост!$D$5-Пост!$D$18-Пост!$D$21)*ндс</f>
        <v>190.46187599999996</v>
      </c>
      <c r="S24" s="116">
        <f>('1-Ф3'!S13/Исх!$C$19+S11-Пост!$D$5-Пост!$D$18-Пост!$D$21)*ндс</f>
        <v>190.46187599999996</v>
      </c>
      <c r="T24" s="116">
        <f>('1-Ф3'!T13/Исх!$C$19+T11-Пост!$D$5-Пост!$D$18-Пост!$D$21)*ндс</f>
        <v>190.46187599999996</v>
      </c>
      <c r="U24" s="116">
        <f>('1-Ф3'!U13/Исх!$C$19+U11-Пост!$D$5-Пост!$D$18-Пост!$D$21)*ндс</f>
        <v>190.46187599999996</v>
      </c>
      <c r="V24" s="116">
        <f>('1-Ф3'!V13/Исх!$C$19+V11-Пост!$D$5-Пост!$D$18-Пост!$D$21)*ндс</f>
        <v>190.46187599999996</v>
      </c>
      <c r="W24" s="116">
        <f>('1-Ф3'!W13/Исх!$C$19+W11-Пост!$D$5-Пост!$D$18-Пост!$D$21)*ндс</f>
        <v>201.14441999999997</v>
      </c>
      <c r="X24" s="116">
        <f>('1-Ф3'!X13/Исх!$C$19+X11-Пост!$D$5-Пост!$D$18-Пост!$D$21)*ндс</f>
        <v>201.14441999999997</v>
      </c>
      <c r="Y24" s="116">
        <f>('1-Ф3'!Y13/Исх!$C$19+Y11-Пост!$D$5-Пост!$D$18-Пост!$D$21)*ндс</f>
        <v>201.14441999999997</v>
      </c>
      <c r="Z24" s="116">
        <f>('1-Ф3'!Z13/Исх!$C$19+Z11-Пост!$D$5-Пост!$D$18-Пост!$D$21)*ндс</f>
        <v>211.826964</v>
      </c>
      <c r="AA24" s="116">
        <f>('1-Ф3'!AA13/Исх!$C$19+AA11-Пост!$D$5-Пост!$D$18-Пост!$D$21)*ндс</f>
        <v>211.826964</v>
      </c>
      <c r="AB24" s="116">
        <f>('1-Ф3'!AB13/Исх!$C$19+AB11-Пост!$D$5-Пост!$D$18-Пост!$D$21)*ндс</f>
        <v>211.826964</v>
      </c>
      <c r="AC24" s="117">
        <f>SUM(Q24:AB24)</f>
        <v>2381.685408</v>
      </c>
      <c r="AD24" s="116">
        <f>('1-Ф3'!AD13/Исх!$C$19+AD11-Пост!$E$5-Пост!$E$18-Пост!$E$21)*ндс</f>
        <v>214.00622399999997</v>
      </c>
      <c r="AE24" s="116">
        <f>('1-Ф3'!AE13/Исх!$C$19+AE11-Пост!$E$5-Пост!$E$18-Пост!$E$21)*ндс</f>
        <v>214.00622399999997</v>
      </c>
      <c r="AF24" s="116">
        <f>('1-Ф3'!AF13/Исх!$C$19+AF11-Пост!$E$5-Пост!$E$18-Пост!$E$21)*ндс</f>
        <v>214.00622399999997</v>
      </c>
      <c r="AG24" s="116">
        <f>('1-Ф3'!AG13/Исх!$C$19+AG11-Пост!$E$5-Пост!$E$18-Пост!$E$21)*ндс</f>
        <v>214.00622399999997</v>
      </c>
      <c r="AH24" s="116">
        <f>('1-Ф3'!AH13/Исх!$C$19+AH11-Пост!$E$5-Пост!$E$18-Пост!$E$21)*ндс</f>
        <v>214.00622399999997</v>
      </c>
      <c r="AI24" s="116">
        <f>('1-Ф3'!AI13/Исх!$C$19+AI11-Пост!$E$5-Пост!$E$18-Пост!$E$21)*ндс</f>
        <v>214.00622399999997</v>
      </c>
      <c r="AJ24" s="116">
        <f>('1-Ф3'!AJ13/Исх!$C$19+AJ11-Пост!$E$5-Пост!$E$18-Пост!$E$21)*ндс</f>
        <v>235.37131199999996</v>
      </c>
      <c r="AK24" s="116">
        <f>('1-Ф3'!AK13/Исх!$C$19+AK11-Пост!$E$5-Пост!$E$18-Пост!$E$21)*ндс</f>
        <v>235.37131199999996</v>
      </c>
      <c r="AL24" s="116">
        <f>('1-Ф3'!AL13/Исх!$C$19+AL11-Пост!$E$5-Пост!$E$18-Пост!$E$21)*ндс</f>
        <v>235.37131199999996</v>
      </c>
      <c r="AM24" s="116">
        <f>('1-Ф3'!AM13/Исх!$C$19+AM11-Пост!$E$5-Пост!$E$18-Пост!$E$21)*ндс</f>
        <v>235.37131199999996</v>
      </c>
      <c r="AN24" s="116">
        <f>('1-Ф3'!AN13/Исх!$C$19+AN11-Пост!$E$5-Пост!$E$18-Пост!$E$21)*ндс</f>
        <v>235.37131199999996</v>
      </c>
      <c r="AO24" s="116">
        <f>('1-Ф3'!AO13/Исх!$C$19+AO11-Пост!$E$5-Пост!$E$18-Пост!$E$21)*ндс</f>
        <v>235.37131199999996</v>
      </c>
      <c r="AP24" s="117">
        <f>SUM(AD24:AO24)</f>
        <v>2696.2652159999993</v>
      </c>
      <c r="AQ24" s="116">
        <f>(AQ8+AQ11-(Пост!F5+Пост!F18+Пост!F21)*12)*ндс</f>
        <v>2979.7197119999996</v>
      </c>
      <c r="AR24" s="116">
        <f>(AR8+AR11-(Пост!G5+Пост!G18+Пост!G21)*12)*ндс</f>
        <v>3135.1683599999988</v>
      </c>
      <c r="AS24" s="116">
        <f>(AS8+AS11-(Пост!H5+Пост!H18+Пост!H21)*12)*ндс</f>
        <v>3162.6735299999987</v>
      </c>
      <c r="AT24" s="116">
        <f>(AT8+AT11-(Пост!I5+Пост!I18+Пост!I21)*12)*ндс</f>
        <v>3191.553958499999</v>
      </c>
      <c r="AU24" s="116">
        <f>(AU8+AU11-(Пост!J5+Пост!J18+Пост!J21)*12)*ндс</f>
        <v>3221.878408424999</v>
      </c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</row>
    <row r="25" spans="1:60" s="110" customFormat="1" ht="12.75">
      <c r="A25" s="114" t="s">
        <v>164</v>
      </c>
      <c r="B25" s="96">
        <f>P25+AC25+AP25+AQ25+AR25+AS25+AT25+AU25</f>
        <v>1141.8519428571428</v>
      </c>
      <c r="C25" s="116"/>
      <c r="D25" s="116">
        <f>Инв!E15/Исх!$C$19*ндс</f>
        <v>0</v>
      </c>
      <c r="E25" s="116">
        <f>Инв!F15/Исх!$C$19*ндс</f>
        <v>0</v>
      </c>
      <c r="F25" s="116">
        <f>Инв!G15/Исх!$C$19*ндс</f>
        <v>0</v>
      </c>
      <c r="G25" s="116">
        <f>Инв!H15/Исх!$C$19*ндс</f>
        <v>0</v>
      </c>
      <c r="H25" s="116">
        <f>Инв!I15/Исх!$C$19*ндс</f>
        <v>0</v>
      </c>
      <c r="I25" s="116">
        <f>Инв!J15/Исх!$C$19*ндс</f>
        <v>0</v>
      </c>
      <c r="J25" s="116">
        <f>Инв!K15/Исх!$C$19*ндс</f>
        <v>0</v>
      </c>
      <c r="K25" s="116">
        <f>Инв!L15/Исх!$C$19*ндс</f>
        <v>0</v>
      </c>
      <c r="L25" s="116">
        <f>Инв!M15/Исх!$C$19*ндс</f>
        <v>0</v>
      </c>
      <c r="M25" s="116">
        <f>Инв!N15/Исх!$C$19*ндс</f>
        <v>1062.2295428571429</v>
      </c>
      <c r="N25" s="116">
        <f>Инв!O15/Исх!$C$19*ндс</f>
        <v>79.6224</v>
      </c>
      <c r="O25" s="116">
        <f>Инв!P15/Исх!$C$19*ндс</f>
        <v>0</v>
      </c>
      <c r="P25" s="117">
        <f>SUM(D25:O25)</f>
        <v>1141.8519428571428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7">
        <f>SUM(Q25:AB25)</f>
        <v>0</v>
      </c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7">
        <f>SUM(AD25:AO25)</f>
        <v>0</v>
      </c>
      <c r="AQ25" s="117"/>
      <c r="AR25" s="117"/>
      <c r="AS25" s="117"/>
      <c r="AT25" s="117"/>
      <c r="AU25" s="117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</row>
    <row r="26" spans="1:60" s="110" customFormat="1" ht="12.75">
      <c r="A26" s="114" t="s">
        <v>30</v>
      </c>
      <c r="B26" s="96">
        <f>P26+AC26+AP26+AQ26+AR26+AS26+AT26+AU26</f>
        <v>10174.328294646431</v>
      </c>
      <c r="C26" s="116"/>
      <c r="D26" s="116">
        <f>D23-D24-D25</f>
        <v>0</v>
      </c>
      <c r="E26" s="116">
        <f aca="true" t="shared" si="24" ref="E26:O26">E23-E24-E25</f>
        <v>0</v>
      </c>
      <c r="F26" s="116">
        <f t="shared" si="24"/>
        <v>0</v>
      </c>
      <c r="G26" s="116">
        <f t="shared" si="24"/>
        <v>0</v>
      </c>
      <c r="H26" s="116">
        <f t="shared" si="24"/>
        <v>0</v>
      </c>
      <c r="I26" s="116">
        <f t="shared" si="24"/>
        <v>0</v>
      </c>
      <c r="J26" s="116">
        <f t="shared" si="24"/>
        <v>0</v>
      </c>
      <c r="K26" s="116">
        <f t="shared" si="24"/>
        <v>0</v>
      </c>
      <c r="L26" s="116">
        <f t="shared" si="24"/>
        <v>0</v>
      </c>
      <c r="M26" s="116">
        <f t="shared" si="24"/>
        <v>-1062.2295428571429</v>
      </c>
      <c r="N26" s="116">
        <f t="shared" si="24"/>
        <v>-79.6224</v>
      </c>
      <c r="O26" s="116">
        <f t="shared" si="24"/>
        <v>-149.55561599999996</v>
      </c>
      <c r="P26" s="117">
        <f>SUM(D26:O26)</f>
        <v>-1291.4075588571427</v>
      </c>
      <c r="Q26" s="116">
        <f aca="true" t="shared" si="25" ref="Q26:AB26">Q23-Q24-Q25</f>
        <v>-5.560090285714267</v>
      </c>
      <c r="R26" s="116">
        <f t="shared" si="25"/>
        <v>68.40062400000005</v>
      </c>
      <c r="S26" s="116">
        <f t="shared" si="25"/>
        <v>105.38098114285708</v>
      </c>
      <c r="T26" s="116">
        <f t="shared" si="25"/>
        <v>105.38098114285708</v>
      </c>
      <c r="U26" s="116">
        <f t="shared" si="25"/>
        <v>179.34169542857143</v>
      </c>
      <c r="V26" s="116">
        <f t="shared" si="25"/>
        <v>114.62607042857144</v>
      </c>
      <c r="W26" s="116">
        <f t="shared" si="25"/>
        <v>65.1141514285714</v>
      </c>
      <c r="X26" s="116">
        <f t="shared" si="25"/>
        <v>65.1141514285714</v>
      </c>
      <c r="Y26" s="116">
        <f t="shared" si="25"/>
        <v>168.65915142857142</v>
      </c>
      <c r="Z26" s="116">
        <f t="shared" si="25"/>
        <v>84.01589314285704</v>
      </c>
      <c r="AA26" s="116">
        <f t="shared" si="25"/>
        <v>10.055178857142806</v>
      </c>
      <c r="AB26" s="116">
        <f t="shared" si="25"/>
        <v>-100.8858925714286</v>
      </c>
      <c r="AC26" s="117">
        <f>SUM(Q26:AB26)</f>
        <v>859.6428955714284</v>
      </c>
      <c r="AD26" s="116">
        <f aca="true" t="shared" si="26" ref="AD26:AO26">AD23-AD24-AD25</f>
        <v>-0.8990811428571703</v>
      </c>
      <c r="AE26" s="116">
        <f t="shared" si="26"/>
        <v>84.34377599999993</v>
      </c>
      <c r="AF26" s="116">
        <f t="shared" si="26"/>
        <v>126.9652045714285</v>
      </c>
      <c r="AG26" s="116">
        <f t="shared" si="26"/>
        <v>126.9652045714285</v>
      </c>
      <c r="AH26" s="116">
        <f t="shared" si="26"/>
        <v>212.20806171428563</v>
      </c>
      <c r="AI26" s="116">
        <f t="shared" si="26"/>
        <v>254.82949028571414</v>
      </c>
      <c r="AJ26" s="116">
        <f t="shared" si="26"/>
        <v>276.0858308571427</v>
      </c>
      <c r="AK26" s="116">
        <f t="shared" si="26"/>
        <v>250.51297371428555</v>
      </c>
      <c r="AL26" s="116">
        <f t="shared" si="26"/>
        <v>126.91083085714283</v>
      </c>
      <c r="AM26" s="116">
        <f t="shared" si="26"/>
        <v>105.60011657142852</v>
      </c>
      <c r="AN26" s="116">
        <f t="shared" si="26"/>
        <v>20.357259428571382</v>
      </c>
      <c r="AO26" s="116">
        <f t="shared" si="26"/>
        <v>-107.50702628571429</v>
      </c>
      <c r="AP26" s="117">
        <f>SUM(AD26:AO26)</f>
        <v>1476.3726411428563</v>
      </c>
      <c r="AQ26" s="116">
        <f>AQ23-AQ24-AQ25</f>
        <v>1783.851716571428</v>
      </c>
      <c r="AR26" s="116">
        <f>AR23-AR24-AR25</f>
        <v>1879.117354285715</v>
      </c>
      <c r="AS26" s="116">
        <f>AS23-AS24-AS25</f>
        <v>1851.612184285715</v>
      </c>
      <c r="AT26" s="116">
        <f>AT23-AT24-AT25</f>
        <v>1822.7317557857145</v>
      </c>
      <c r="AU26" s="116">
        <f>AU23-AU24-AU25</f>
        <v>1792.4073058607146</v>
      </c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</row>
    <row r="27" spans="1:60" s="110" customFormat="1" ht="12.75">
      <c r="A27" s="114" t="s">
        <v>165</v>
      </c>
      <c r="B27" s="102">
        <f>AU27</f>
        <v>10174.328294646428</v>
      </c>
      <c r="C27" s="116"/>
      <c r="D27" s="116">
        <f>D26</f>
        <v>0</v>
      </c>
      <c r="E27" s="116">
        <f>D27+E26</f>
        <v>0</v>
      </c>
      <c r="F27" s="116">
        <f aca="true" t="shared" si="27" ref="F27:O27">E27+F26</f>
        <v>0</v>
      </c>
      <c r="G27" s="116">
        <f t="shared" si="27"/>
        <v>0</v>
      </c>
      <c r="H27" s="116">
        <f t="shared" si="27"/>
        <v>0</v>
      </c>
      <c r="I27" s="116">
        <f t="shared" si="27"/>
        <v>0</v>
      </c>
      <c r="J27" s="116">
        <f t="shared" si="27"/>
        <v>0</v>
      </c>
      <c r="K27" s="116">
        <f t="shared" si="27"/>
        <v>0</v>
      </c>
      <c r="L27" s="116">
        <f t="shared" si="27"/>
        <v>0</v>
      </c>
      <c r="M27" s="116">
        <f t="shared" si="27"/>
        <v>-1062.2295428571429</v>
      </c>
      <c r="N27" s="116">
        <f t="shared" si="27"/>
        <v>-1141.8519428571428</v>
      </c>
      <c r="O27" s="116">
        <f t="shared" si="27"/>
        <v>-1291.4075588571427</v>
      </c>
      <c r="P27" s="117">
        <f>O27</f>
        <v>-1291.4075588571427</v>
      </c>
      <c r="Q27" s="116">
        <f aca="true" t="shared" si="28" ref="Q27:AB27">P27+Q26</f>
        <v>-1296.967649142857</v>
      </c>
      <c r="R27" s="116">
        <f t="shared" si="28"/>
        <v>-1228.567025142857</v>
      </c>
      <c r="S27" s="116">
        <f t="shared" si="28"/>
        <v>-1123.1860439999998</v>
      </c>
      <c r="T27" s="116">
        <f t="shared" si="28"/>
        <v>-1017.8050628571427</v>
      </c>
      <c r="U27" s="116">
        <f t="shared" si="28"/>
        <v>-838.4633674285712</v>
      </c>
      <c r="V27" s="116">
        <f t="shared" si="28"/>
        <v>-723.8372969999998</v>
      </c>
      <c r="W27" s="116">
        <f t="shared" si="28"/>
        <v>-658.7231455714284</v>
      </c>
      <c r="X27" s="116">
        <f t="shared" si="28"/>
        <v>-593.608994142857</v>
      </c>
      <c r="Y27" s="116">
        <f t="shared" si="28"/>
        <v>-424.9498427142856</v>
      </c>
      <c r="Z27" s="116">
        <f t="shared" si="28"/>
        <v>-340.93394957142857</v>
      </c>
      <c r="AA27" s="116">
        <f t="shared" si="28"/>
        <v>-330.8787707142858</v>
      </c>
      <c r="AB27" s="116">
        <f t="shared" si="28"/>
        <v>-431.7646632857144</v>
      </c>
      <c r="AC27" s="117">
        <f>AB27</f>
        <v>-431.7646632857144</v>
      </c>
      <c r="AD27" s="116">
        <f aca="true" t="shared" si="29" ref="AD27:AO27">AC27+AD26</f>
        <v>-432.6637444285716</v>
      </c>
      <c r="AE27" s="116">
        <f t="shared" si="29"/>
        <v>-348.31996842857166</v>
      </c>
      <c r="AF27" s="116">
        <f t="shared" si="29"/>
        <v>-221.35476385714315</v>
      </c>
      <c r="AG27" s="116">
        <f t="shared" si="29"/>
        <v>-94.38955928571465</v>
      </c>
      <c r="AH27" s="116">
        <f t="shared" si="29"/>
        <v>117.81850242857098</v>
      </c>
      <c r="AI27" s="116">
        <f t="shared" si="29"/>
        <v>372.6479927142851</v>
      </c>
      <c r="AJ27" s="116">
        <f t="shared" si="29"/>
        <v>648.7338235714278</v>
      </c>
      <c r="AK27" s="116">
        <f t="shared" si="29"/>
        <v>899.2467972857133</v>
      </c>
      <c r="AL27" s="116">
        <f t="shared" si="29"/>
        <v>1026.157628142856</v>
      </c>
      <c r="AM27" s="116">
        <f t="shared" si="29"/>
        <v>1131.7577447142846</v>
      </c>
      <c r="AN27" s="116">
        <f t="shared" si="29"/>
        <v>1152.115004142856</v>
      </c>
      <c r="AO27" s="116">
        <f t="shared" si="29"/>
        <v>1044.6079778571416</v>
      </c>
      <c r="AP27" s="117">
        <f>AO27</f>
        <v>1044.6079778571416</v>
      </c>
      <c r="AQ27" s="116">
        <f>AP27+AQ26</f>
        <v>2828.4596944285695</v>
      </c>
      <c r="AR27" s="116">
        <f>AQ27+AR26</f>
        <v>4707.5770487142845</v>
      </c>
      <c r="AS27" s="116">
        <f>AR27+AS26</f>
        <v>6559.189232999999</v>
      </c>
      <c r="AT27" s="116">
        <f>AS27+AT26</f>
        <v>8381.920988785714</v>
      </c>
      <c r="AU27" s="116">
        <f>AT27+AU26</f>
        <v>10174.328294646428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</row>
    <row r="28" spans="1:60" s="110" customFormat="1" ht="12.75">
      <c r="A28" s="114" t="s">
        <v>166</v>
      </c>
      <c r="B28" s="96">
        <f>P28+AC28+AP28+AQ28+AR28+AS28+AT28+AU28</f>
        <v>10174.328294646428</v>
      </c>
      <c r="C28" s="116"/>
      <c r="D28" s="116">
        <f>IF(C27+D26&gt;=0,IF(C27&lt;0,C27+D26,D26),0)</f>
        <v>0</v>
      </c>
      <c r="E28" s="116">
        <f aca="true" t="shared" si="30" ref="E28:AU28">IF(D27+E26&gt;=0,IF(D27&lt;0,D27+E26,E26),0)</f>
        <v>0</v>
      </c>
      <c r="F28" s="116">
        <f t="shared" si="30"/>
        <v>0</v>
      </c>
      <c r="G28" s="116">
        <f t="shared" si="30"/>
        <v>0</v>
      </c>
      <c r="H28" s="116">
        <f t="shared" si="30"/>
        <v>0</v>
      </c>
      <c r="I28" s="116">
        <f t="shared" si="30"/>
        <v>0</v>
      </c>
      <c r="J28" s="116">
        <f t="shared" si="30"/>
        <v>0</v>
      </c>
      <c r="K28" s="116">
        <f t="shared" si="30"/>
        <v>0</v>
      </c>
      <c r="L28" s="116">
        <f t="shared" si="30"/>
        <v>0</v>
      </c>
      <c r="M28" s="116">
        <f t="shared" si="30"/>
        <v>0</v>
      </c>
      <c r="N28" s="116">
        <f t="shared" si="30"/>
        <v>0</v>
      </c>
      <c r="O28" s="116">
        <f t="shared" si="30"/>
        <v>0</v>
      </c>
      <c r="P28" s="117">
        <f>SUM(D28:O28)</f>
        <v>0</v>
      </c>
      <c r="Q28" s="116">
        <f t="shared" si="30"/>
        <v>0</v>
      </c>
      <c r="R28" s="116">
        <f t="shared" si="30"/>
        <v>0</v>
      </c>
      <c r="S28" s="116">
        <f t="shared" si="30"/>
        <v>0</v>
      </c>
      <c r="T28" s="116">
        <f t="shared" si="30"/>
        <v>0</v>
      </c>
      <c r="U28" s="116">
        <f t="shared" si="30"/>
        <v>0</v>
      </c>
      <c r="V28" s="116">
        <f t="shared" si="30"/>
        <v>0</v>
      </c>
      <c r="W28" s="116">
        <f t="shared" si="30"/>
        <v>0</v>
      </c>
      <c r="X28" s="116">
        <f t="shared" si="30"/>
        <v>0</v>
      </c>
      <c r="Y28" s="116">
        <f t="shared" si="30"/>
        <v>0</v>
      </c>
      <c r="Z28" s="116">
        <f t="shared" si="30"/>
        <v>0</v>
      </c>
      <c r="AA28" s="116">
        <f t="shared" si="30"/>
        <v>0</v>
      </c>
      <c r="AB28" s="116">
        <f t="shared" si="30"/>
        <v>0</v>
      </c>
      <c r="AC28" s="117">
        <f>SUM(Q28:AB28)</f>
        <v>0</v>
      </c>
      <c r="AD28" s="116">
        <f aca="true" t="shared" si="31" ref="AD28:AO28">IF(AC27+AD26&gt;=0,IF(AC27&lt;0,AC27+AD26,AD26),0)</f>
        <v>0</v>
      </c>
      <c r="AE28" s="116">
        <f t="shared" si="31"/>
        <v>0</v>
      </c>
      <c r="AF28" s="116">
        <f t="shared" si="31"/>
        <v>0</v>
      </c>
      <c r="AG28" s="116">
        <f t="shared" si="31"/>
        <v>0</v>
      </c>
      <c r="AH28" s="116">
        <f t="shared" si="31"/>
        <v>117.81850242857098</v>
      </c>
      <c r="AI28" s="116">
        <f t="shared" si="31"/>
        <v>254.82949028571414</v>
      </c>
      <c r="AJ28" s="116">
        <f t="shared" si="31"/>
        <v>276.0858308571427</v>
      </c>
      <c r="AK28" s="116">
        <f t="shared" si="31"/>
        <v>250.51297371428555</v>
      </c>
      <c r="AL28" s="116">
        <f t="shared" si="31"/>
        <v>126.91083085714283</v>
      </c>
      <c r="AM28" s="116">
        <f t="shared" si="31"/>
        <v>105.60011657142852</v>
      </c>
      <c r="AN28" s="116">
        <f t="shared" si="31"/>
        <v>20.357259428571382</v>
      </c>
      <c r="AO28" s="116">
        <f t="shared" si="31"/>
        <v>-107.50702628571429</v>
      </c>
      <c r="AP28" s="117">
        <f>SUM(AD28:AO28)</f>
        <v>1044.6079778571416</v>
      </c>
      <c r="AQ28" s="116">
        <f t="shared" si="30"/>
        <v>1783.851716571428</v>
      </c>
      <c r="AR28" s="116">
        <f t="shared" si="30"/>
        <v>1879.117354285715</v>
      </c>
      <c r="AS28" s="116">
        <f t="shared" si="30"/>
        <v>1851.612184285715</v>
      </c>
      <c r="AT28" s="116">
        <f t="shared" si="30"/>
        <v>1822.7317557857145</v>
      </c>
      <c r="AU28" s="116">
        <f t="shared" si="30"/>
        <v>1792.4073058607146</v>
      </c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</row>
    <row r="30" ht="12.75">
      <c r="B30" s="267">
        <f>B23-B24-B25</f>
        <v>10174.32829464643</v>
      </c>
    </row>
  </sheetData>
  <sheetProtection/>
  <mergeCells count="10">
    <mergeCell ref="AD3:AP3"/>
    <mergeCell ref="AD20:AP20"/>
    <mergeCell ref="Q20:AC20"/>
    <mergeCell ref="Q3:AC3"/>
    <mergeCell ref="A3:A4"/>
    <mergeCell ref="A20:A21"/>
    <mergeCell ref="B3:B4"/>
    <mergeCell ref="D20:P20"/>
    <mergeCell ref="B20:B21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N41"/>
  <sheetViews>
    <sheetView showGridLines="0" showZeros="0" zoomScalePageLayoutView="0" workbookViewId="0" topLeftCell="A1">
      <pane xSplit="3" ySplit="4" topLeftCell="D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X17" sqref="AX17"/>
    </sheetView>
  </sheetViews>
  <sheetFormatPr defaultColWidth="10.125" defaultRowHeight="12.75" outlineLevelCol="1"/>
  <cols>
    <col min="1" max="1" width="38.125" style="119" customWidth="1"/>
    <col min="2" max="2" width="2.375" style="119" customWidth="1"/>
    <col min="3" max="3" width="7.125" style="119" customWidth="1"/>
    <col min="4" max="4" width="11.375" style="119" hidden="1" customWidth="1" outlineLevel="1"/>
    <col min="5" max="11" width="7.375" style="119" hidden="1" customWidth="1" outlineLevel="1"/>
    <col min="12" max="12" width="8.00390625" style="119" hidden="1" customWidth="1" outlineLevel="1"/>
    <col min="13" max="13" width="7.875" style="119" hidden="1" customWidth="1" outlineLevel="1"/>
    <col min="14" max="15" width="8.125" style="119" hidden="1" customWidth="1" outlineLevel="1"/>
    <col min="16" max="16" width="9.875" style="119" customWidth="1" collapsed="1"/>
    <col min="17" max="20" width="8.375" style="119" hidden="1" customWidth="1" outlineLevel="1"/>
    <col min="21" max="26" width="9.125" style="119" hidden="1" customWidth="1" outlineLevel="1"/>
    <col min="27" max="27" width="9.00390625" style="119" hidden="1" customWidth="1" outlineLevel="1"/>
    <col min="28" max="28" width="9.125" style="119" hidden="1" customWidth="1" outlineLevel="1"/>
    <col min="29" max="29" width="10.125" style="119" customWidth="1" collapsed="1"/>
    <col min="30" max="39" width="10.25390625" style="119" hidden="1" customWidth="1" outlineLevel="1"/>
    <col min="40" max="40" width="9.00390625" style="119" hidden="1" customWidth="1" outlineLevel="1"/>
    <col min="41" max="41" width="9.125" style="119" hidden="1" customWidth="1" outlineLevel="1"/>
    <col min="42" max="42" width="9.875" style="119" customWidth="1" collapsed="1"/>
    <col min="43" max="43" width="9.75390625" style="119" customWidth="1"/>
    <col min="44" max="44" width="9.625" style="119" customWidth="1"/>
    <col min="45" max="47" width="9.75390625" style="119" customWidth="1"/>
    <col min="48" max="16384" width="10.125" style="119" customWidth="1"/>
  </cols>
  <sheetData>
    <row r="1" spans="1:3" ht="12.75">
      <c r="A1" s="62" t="s">
        <v>113</v>
      </c>
      <c r="B1" s="118"/>
      <c r="C1" s="118"/>
    </row>
    <row r="2" spans="1:47" ht="17.25" customHeight="1">
      <c r="A2" s="62"/>
      <c r="C2" s="12" t="str">
        <f>Исх!$C$10</f>
        <v>тыс.тг.</v>
      </c>
      <c r="L2" s="120"/>
      <c r="P2" s="120"/>
      <c r="AC2" s="120"/>
      <c r="AP2" s="120"/>
      <c r="AQ2" s="120"/>
      <c r="AR2" s="120"/>
      <c r="AS2" s="120"/>
      <c r="AT2" s="120"/>
      <c r="AU2" s="120"/>
    </row>
    <row r="3" spans="1:47" ht="12.75" customHeight="1">
      <c r="A3" s="343" t="s">
        <v>3</v>
      </c>
      <c r="B3" s="345"/>
      <c r="C3" s="122"/>
      <c r="D3" s="346">
        <v>2013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>
        <v>2014</v>
      </c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7">
        <f>Q3+1</f>
        <v>2015</v>
      </c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9"/>
      <c r="AQ3" s="123">
        <f>AD3+1</f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</row>
    <row r="4" spans="1:47" ht="12.75">
      <c r="A4" s="344"/>
      <c r="B4" s="345"/>
      <c r="C4" s="124"/>
      <c r="D4" s="125">
        <v>1</v>
      </c>
      <c r="E4" s="125">
        <f>D4+1</f>
        <v>2</v>
      </c>
      <c r="F4" s="125">
        <f aca="true" t="shared" si="0" ref="F4:O4">E4+1</f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 t="shared" si="0"/>
        <v>10</v>
      </c>
      <c r="N4" s="125">
        <f t="shared" si="0"/>
        <v>11</v>
      </c>
      <c r="O4" s="125">
        <f t="shared" si="0"/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111</v>
      </c>
      <c r="AR4" s="121" t="s">
        <v>111</v>
      </c>
      <c r="AS4" s="121" t="s">
        <v>111</v>
      </c>
      <c r="AT4" s="121" t="s">
        <v>111</v>
      </c>
      <c r="AU4" s="121" t="s">
        <v>111</v>
      </c>
    </row>
    <row r="5" spans="1:54" s="130" customFormat="1" ht="15" customHeight="1">
      <c r="A5" s="126" t="s">
        <v>114</v>
      </c>
      <c r="B5" s="127"/>
      <c r="C5" s="128">
        <f>C11+C6</f>
        <v>0</v>
      </c>
      <c r="D5" s="128">
        <f>D11+D6</f>
        <v>0</v>
      </c>
      <c r="E5" s="128">
        <f aca="true" t="shared" si="3" ref="E5:AT5">E11+E6</f>
        <v>0</v>
      </c>
      <c r="F5" s="128">
        <f t="shared" si="3"/>
        <v>0</v>
      </c>
      <c r="G5" s="128">
        <f t="shared" si="3"/>
        <v>0</v>
      </c>
      <c r="H5" s="128">
        <f t="shared" si="3"/>
        <v>0</v>
      </c>
      <c r="I5" s="128">
        <f t="shared" si="3"/>
        <v>0</v>
      </c>
      <c r="J5" s="128">
        <f t="shared" si="3"/>
        <v>0</v>
      </c>
      <c r="K5" s="128">
        <f t="shared" si="3"/>
        <v>0</v>
      </c>
      <c r="L5" s="128">
        <f t="shared" si="3"/>
        <v>0</v>
      </c>
      <c r="M5" s="128">
        <f t="shared" si="3"/>
        <v>9914.142399999999</v>
      </c>
      <c r="N5" s="128">
        <f t="shared" si="3"/>
        <v>10657.284799999998</v>
      </c>
      <c r="O5" s="128">
        <f t="shared" si="3"/>
        <v>13043.137216</v>
      </c>
      <c r="P5" s="128">
        <f t="shared" si="3"/>
        <v>13043.137216</v>
      </c>
      <c r="Q5" s="128">
        <f t="shared" si="3"/>
        <v>12813.33790415476</v>
      </c>
      <c r="R5" s="128">
        <f t="shared" si="3"/>
        <v>12884.742830023806</v>
      </c>
      <c r="S5" s="128">
        <f t="shared" si="3"/>
        <v>13106.749874749998</v>
      </c>
      <c r="T5" s="128">
        <f t="shared" si="3"/>
        <v>13328.756919476189</v>
      </c>
      <c r="U5" s="128">
        <f t="shared" si="3"/>
        <v>13716.91769054133</v>
      </c>
      <c r="V5" s="128">
        <f t="shared" si="3"/>
        <v>13873.169064509711</v>
      </c>
      <c r="W5" s="128">
        <f t="shared" si="3"/>
        <v>13902.91465863809</v>
      </c>
      <c r="X5" s="128">
        <f t="shared" si="3"/>
        <v>13823.205684849872</v>
      </c>
      <c r="Y5" s="128">
        <f t="shared" si="3"/>
        <v>14072.513285625975</v>
      </c>
      <c r="Z5" s="128">
        <f t="shared" si="3"/>
        <v>14080.719482448476</v>
      </c>
      <c r="AA5" s="128">
        <f t="shared" si="3"/>
        <v>13847.823470236981</v>
      </c>
      <c r="AB5" s="128">
        <f t="shared" si="3"/>
        <v>13253.342744129075</v>
      </c>
      <c r="AC5" s="128">
        <f t="shared" si="3"/>
        <v>13253.342744129075</v>
      </c>
      <c r="AD5" s="128">
        <f aca="true" t="shared" si="4" ref="AD5:AP5">AD11+AD6</f>
        <v>12954.576061795795</v>
      </c>
      <c r="AE5" s="128">
        <f t="shared" si="4"/>
        <v>12933.388634556919</v>
      </c>
      <c r="AF5" s="128">
        <f t="shared" si="4"/>
        <v>13050.919379638974</v>
      </c>
      <c r="AG5" s="128">
        <f t="shared" si="4"/>
        <v>13168.307209461642</v>
      </c>
      <c r="AH5" s="128">
        <f t="shared" si="4"/>
        <v>13563.27180783829</v>
      </c>
      <c r="AI5" s="128">
        <f t="shared" si="4"/>
        <v>14096.952077490629</v>
      </c>
      <c r="AJ5" s="128">
        <f t="shared" si="4"/>
        <v>14769.347174991763</v>
      </c>
      <c r="AK5" s="128">
        <f t="shared" si="4"/>
        <v>15358.279838006238</v>
      </c>
      <c r="AL5" s="128">
        <f t="shared" si="4"/>
        <v>15544.370618129915</v>
      </c>
      <c r="AM5" s="128">
        <f t="shared" si="4"/>
        <v>15660.883278072519</v>
      </c>
      <c r="AN5" s="128">
        <f t="shared" si="4"/>
        <v>15499.52656644004</v>
      </c>
      <c r="AO5" s="128">
        <f t="shared" si="4"/>
        <v>14921.439356174102</v>
      </c>
      <c r="AP5" s="128">
        <f t="shared" si="4"/>
        <v>14921.439356174102</v>
      </c>
      <c r="AQ5" s="128">
        <f t="shared" si="3"/>
        <v>18029.117090236818</v>
      </c>
      <c r="AR5" s="128">
        <f t="shared" si="3"/>
        <v>21450.642746619535</v>
      </c>
      <c r="AS5" s="128">
        <f t="shared" si="3"/>
        <v>24350.635391208893</v>
      </c>
      <c r="AT5" s="128">
        <f t="shared" si="3"/>
        <v>26702.134822573033</v>
      </c>
      <c r="AU5" s="128">
        <f>AU11+AU6</f>
        <v>28828.303766799356</v>
      </c>
      <c r="AV5" s="129"/>
      <c r="AW5" s="129"/>
      <c r="AX5" s="129"/>
      <c r="AY5" s="129"/>
      <c r="AZ5" s="129"/>
      <c r="BA5" s="129"/>
      <c r="BB5" s="129"/>
    </row>
    <row r="6" spans="1:47" s="130" customFormat="1" ht="15" customHeight="1">
      <c r="A6" s="126" t="s">
        <v>115</v>
      </c>
      <c r="B6" s="127"/>
      <c r="C6" s="128">
        <f>SUM(C7:C10)</f>
        <v>0</v>
      </c>
      <c r="D6" s="128">
        <f>SUM(D7:D10)</f>
        <v>0</v>
      </c>
      <c r="E6" s="128">
        <f aca="true" t="shared" si="5" ref="E6:AT6">SUM(E7:E10)</f>
        <v>0</v>
      </c>
      <c r="F6" s="128">
        <f t="shared" si="5"/>
        <v>0</v>
      </c>
      <c r="G6" s="128">
        <f t="shared" si="5"/>
        <v>0</v>
      </c>
      <c r="H6" s="128">
        <f t="shared" si="5"/>
        <v>0</v>
      </c>
      <c r="I6" s="128">
        <f t="shared" si="5"/>
        <v>0</v>
      </c>
      <c r="J6" s="128">
        <f t="shared" si="5"/>
        <v>0</v>
      </c>
      <c r="K6" s="128">
        <f t="shared" si="5"/>
        <v>0</v>
      </c>
      <c r="L6" s="128">
        <f t="shared" si="5"/>
        <v>0</v>
      </c>
      <c r="M6" s="128">
        <f t="shared" si="5"/>
        <v>663.52</v>
      </c>
      <c r="N6" s="128">
        <f t="shared" si="5"/>
        <v>1327.04</v>
      </c>
      <c r="O6" s="128">
        <f t="shared" si="5"/>
        <v>2236.2967999999996</v>
      </c>
      <c r="P6" s="128">
        <f t="shared" si="5"/>
        <v>2236.2967999999996</v>
      </c>
      <c r="Q6" s="128">
        <f t="shared" si="5"/>
        <v>2057.4871359642852</v>
      </c>
      <c r="R6" s="128">
        <f t="shared" si="5"/>
        <v>2253.842423928571</v>
      </c>
      <c r="S6" s="128">
        <f t="shared" si="5"/>
        <v>2637.7801878928567</v>
      </c>
      <c r="T6" s="128">
        <f t="shared" si="5"/>
        <v>3021.717951857142</v>
      </c>
      <c r="U6" s="128">
        <f t="shared" si="5"/>
        <v>3645.770156446094</v>
      </c>
      <c r="V6" s="128">
        <f t="shared" si="5"/>
        <v>3973.1973389382847</v>
      </c>
      <c r="W6" s="128">
        <f t="shared" si="5"/>
        <v>4124.606822590475</v>
      </c>
      <c r="X6" s="128">
        <f t="shared" si="5"/>
        <v>4166.561738326067</v>
      </c>
      <c r="Y6" s="128">
        <f t="shared" si="5"/>
        <v>4641.078228625978</v>
      </c>
      <c r="Z6" s="128">
        <f t="shared" si="5"/>
        <v>4789.850056686575</v>
      </c>
      <c r="AA6" s="128">
        <f t="shared" si="5"/>
        <v>4623.55896142746</v>
      </c>
      <c r="AB6" s="128">
        <f t="shared" si="5"/>
        <v>3984.742080843366</v>
      </c>
      <c r="AC6" s="128">
        <f t="shared" si="5"/>
        <v>3984.742080843366</v>
      </c>
      <c r="AD6" s="128">
        <f aca="true" t="shared" si="6" ref="AD6:AP6">SUM(AD7:AD10)</f>
        <v>3741.626055462466</v>
      </c>
      <c r="AE6" s="128">
        <f t="shared" si="6"/>
        <v>3861.332142318827</v>
      </c>
      <c r="AF6" s="128">
        <f t="shared" si="6"/>
        <v>4162.377830067549</v>
      </c>
      <c r="AG6" s="128">
        <f t="shared" si="6"/>
        <v>4463.280602556884</v>
      </c>
      <c r="AH6" s="128">
        <f t="shared" si="6"/>
        <v>5009.1844983144865</v>
      </c>
      <c r="AI6" s="128">
        <f t="shared" si="6"/>
        <v>5599.414506062063</v>
      </c>
      <c r="AJ6" s="128">
        <f t="shared" si="6"/>
        <v>6328.359341658435</v>
      </c>
      <c r="AK6" s="128">
        <f t="shared" si="6"/>
        <v>6973.84174276815</v>
      </c>
      <c r="AL6" s="128">
        <f t="shared" si="6"/>
        <v>7216.482260987064</v>
      </c>
      <c r="AM6" s="128">
        <f t="shared" si="6"/>
        <v>7389.544659024907</v>
      </c>
      <c r="AN6" s="128">
        <f t="shared" si="6"/>
        <v>7284.737685487666</v>
      </c>
      <c r="AO6" s="128">
        <f t="shared" si="6"/>
        <v>6763.200213316966</v>
      </c>
      <c r="AP6" s="128">
        <f t="shared" si="6"/>
        <v>6763.200213316966</v>
      </c>
      <c r="AQ6" s="128">
        <f t="shared" si="5"/>
        <v>10549.474804522539</v>
      </c>
      <c r="AR6" s="128">
        <f t="shared" si="5"/>
        <v>14649.597318048112</v>
      </c>
      <c r="AS6" s="128">
        <f t="shared" si="5"/>
        <v>18228.186819780327</v>
      </c>
      <c r="AT6" s="128">
        <f t="shared" si="5"/>
        <v>21258.283108287324</v>
      </c>
      <c r="AU6" s="128">
        <f>SUM(AU7:AU10)</f>
        <v>24063.048909656503</v>
      </c>
    </row>
    <row r="7" spans="1:47" ht="15" customHeight="1">
      <c r="A7" s="131" t="s">
        <v>116</v>
      </c>
      <c r="B7" s="127"/>
      <c r="C7" s="132"/>
      <c r="D7" s="132">
        <f>'1-Ф3'!D35</f>
        <v>0</v>
      </c>
      <c r="E7" s="132">
        <f>'1-Ф3'!E35</f>
        <v>0</v>
      </c>
      <c r="F7" s="132">
        <f>'1-Ф3'!F35</f>
        <v>0</v>
      </c>
      <c r="G7" s="132">
        <f>'1-Ф3'!G35</f>
        <v>0</v>
      </c>
      <c r="H7" s="132">
        <f>'1-Ф3'!H35</f>
        <v>0</v>
      </c>
      <c r="I7" s="132">
        <f>'1-Ф3'!I35</f>
        <v>0</v>
      </c>
      <c r="J7" s="132">
        <f>'1-Ф3'!J35</f>
        <v>0</v>
      </c>
      <c r="K7" s="132">
        <f>'1-Ф3'!K35</f>
        <v>0</v>
      </c>
      <c r="L7" s="132">
        <f>'1-Ф3'!L35</f>
        <v>0</v>
      </c>
      <c r="M7" s="132">
        <f>'1-Ф3'!M35</f>
        <v>0</v>
      </c>
      <c r="N7" s="132">
        <f>'1-Ф3'!N35</f>
        <v>0</v>
      </c>
      <c r="O7" s="132">
        <f>'1-Ф3'!O35</f>
        <v>990</v>
      </c>
      <c r="P7" s="132">
        <f>'1-Ф3'!P35</f>
        <v>990</v>
      </c>
      <c r="Q7" s="132">
        <f>'1-Ф3'!Q35</f>
        <v>352.7311559642858</v>
      </c>
      <c r="R7" s="132">
        <f>'1-Ф3'!R35</f>
        <v>405.76231192857176</v>
      </c>
      <c r="S7" s="132">
        <f>'1-Ф3'!S35</f>
        <v>803.9434678928574</v>
      </c>
      <c r="T7" s="132">
        <f>'1-Ф3'!T35</f>
        <v>1202.124623857143</v>
      </c>
      <c r="U7" s="132">
        <f>'1-Ф3'!U35</f>
        <v>2155.5552684460954</v>
      </c>
      <c r="V7" s="132">
        <f>'1-Ф3'!V35</f>
        <v>2536.617723938286</v>
      </c>
      <c r="W7" s="132">
        <f>'1-Ф3'!W35</f>
        <v>2487.1953803904767</v>
      </c>
      <c r="X7" s="132">
        <f>'1-Ф3'!X35</f>
        <v>2328.318468926068</v>
      </c>
      <c r="Y7" s="132">
        <f>'1-Ф3'!Y35</f>
        <v>3043.1921992259795</v>
      </c>
      <c r="Z7" s="132">
        <f>'1-Ф3'!Z35</f>
        <v>3028.165019286576</v>
      </c>
      <c r="AA7" s="132">
        <f>'1-Ф3'!AA35</f>
        <v>2382.939868027461</v>
      </c>
      <c r="AB7" s="132">
        <f>'1-Ф3'!AB35</f>
        <v>792.4863594433663</v>
      </c>
      <c r="AC7" s="132">
        <f>'1-Ф3'!AC35</f>
        <v>792.4863594433663</v>
      </c>
      <c r="AD7" s="132">
        <f>'1-Ф3'!AD35</f>
        <v>33.04737406246667</v>
      </c>
      <c r="AE7" s="132">
        <f>'1-Ф3'!AE35</f>
        <v>-0.36300308117168356</v>
      </c>
      <c r="AF7" s="132">
        <f>'1-Ф3'!AF35</f>
        <v>329.16946866754984</v>
      </c>
      <c r="AG7" s="132">
        <f>'1-Ф3'!AG35</f>
        <v>658.5590251568844</v>
      </c>
      <c r="AH7" s="132">
        <f>'1-Ф3'!AH35</f>
        <v>1596.1562009144861</v>
      </c>
      <c r="AI7" s="132">
        <f>'1-Ф3'!AI35</f>
        <v>2759.6827366620614</v>
      </c>
      <c r="AJ7" s="132">
        <f>'1-Ф3'!AJ35</f>
        <v>4065.484948258433</v>
      </c>
      <c r="AK7" s="132">
        <f>'1-Ф3'!AK35</f>
        <v>5178.862776568148</v>
      </c>
      <c r="AL7" s="132">
        <f>'1-Ф3'!AL35</f>
        <v>5362.749302787062</v>
      </c>
      <c r="AM7" s="132">
        <f>'1-Ф3'!AM35</f>
        <v>5386.256084824904</v>
      </c>
      <c r="AN7" s="132">
        <f>'1-Ф3'!AN35</f>
        <v>4768.686999287664</v>
      </c>
      <c r="AO7" s="132">
        <f>'1-Ф3'!AO35</f>
        <v>3189.577671116964</v>
      </c>
      <c r="AP7" s="132">
        <f>'1-Ф3'!AP35</f>
        <v>3189.577671116964</v>
      </c>
      <c r="AQ7" s="132">
        <f>'1-Ф3'!AQ35</f>
        <v>6975.852262322535</v>
      </c>
      <c r="AR7" s="132">
        <f>'1-Ф3'!AR35</f>
        <v>11075.97477584811</v>
      </c>
      <c r="AS7" s="132">
        <f>'1-Ф3'!AS35</f>
        <v>14654.564277580323</v>
      </c>
      <c r="AT7" s="132">
        <f>'1-Ф3'!AT35</f>
        <v>17684.66056608732</v>
      </c>
      <c r="AU7" s="132">
        <f>'1-Ф3'!AU35</f>
        <v>20489.4263674565</v>
      </c>
    </row>
    <row r="8" spans="1:47" ht="12.75">
      <c r="A8" s="131" t="s">
        <v>117</v>
      </c>
      <c r="B8" s="127"/>
      <c r="C8" s="132"/>
      <c r="D8" s="132">
        <f>C8+'2-ф2'!D5-'1-Ф3'!D9/Исх!$C$19</f>
        <v>0</v>
      </c>
      <c r="E8" s="132">
        <f>D8+'2-ф2'!E5-'1-Ф3'!E9/Исх!$C$19</f>
        <v>0</v>
      </c>
      <c r="F8" s="132">
        <f>E8+'2-ф2'!F5-'1-Ф3'!F9/Исх!$C$19</f>
        <v>0</v>
      </c>
      <c r="G8" s="132">
        <f>F8+'2-ф2'!G5-'1-Ф3'!G9/Исх!$C$19</f>
        <v>0</v>
      </c>
      <c r="H8" s="132">
        <f>G8+'2-ф2'!H5-'1-Ф3'!H9/Исх!$C$19</f>
        <v>0</v>
      </c>
      <c r="I8" s="132">
        <f>H8+'2-ф2'!I5-'1-Ф3'!I9/Исх!$C$19</f>
        <v>0</v>
      </c>
      <c r="J8" s="132">
        <f>I8+'2-ф2'!J5-'1-Ф3'!J9/Исх!$C$19</f>
        <v>0</v>
      </c>
      <c r="K8" s="132">
        <f>Инв!L25/Исх!$C$19</f>
        <v>0</v>
      </c>
      <c r="L8" s="132">
        <f>Инв!M25/Исх!$C$19</f>
        <v>0</v>
      </c>
      <c r="M8" s="132">
        <f>Инв!N25/Исх!$C$19</f>
        <v>663.52</v>
      </c>
      <c r="N8" s="132">
        <f>Инв!O25/Исх!$C$19</f>
        <v>1327.04</v>
      </c>
      <c r="O8" s="132">
        <f>Инв!P25/Исх!$C$19</f>
        <v>0</v>
      </c>
      <c r="P8" s="132">
        <f>O8</f>
        <v>0</v>
      </c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>
        <f>AB8</f>
        <v>0</v>
      </c>
      <c r="AD8" s="132">
        <f>AC8+'2-ф2'!AD5-'1-Ф3'!AD9/Исх!$C$19</f>
        <v>0</v>
      </c>
      <c r="AE8" s="132">
        <f>AD8+'2-ф2'!AE5-'1-Ф3'!AE9/Исх!$C$19</f>
        <v>0</v>
      </c>
      <c r="AF8" s="132">
        <f>AE8+'2-ф2'!AF5-'1-Ф3'!AF9/Исх!$C$19</f>
        <v>0</v>
      </c>
      <c r="AG8" s="132">
        <f>AF8+'2-ф2'!AG5-'1-Ф3'!AG9/Исх!$C$19</f>
        <v>0</v>
      </c>
      <c r="AH8" s="132">
        <f>AG8+'2-ф2'!AH5-'1-Ф3'!AH9/Исх!$C$19</f>
        <v>0</v>
      </c>
      <c r="AI8" s="132">
        <f>AH8+'2-ф2'!AI5-'1-Ф3'!AI9/Исх!$C$19</f>
        <v>0</v>
      </c>
      <c r="AJ8" s="132">
        <f>AI8+'2-ф2'!AJ5-'1-Ф3'!AJ9/Исх!$C$19</f>
        <v>0</v>
      </c>
      <c r="AK8" s="132">
        <f>AJ8+'2-ф2'!AK5-'1-Ф3'!AK9/Исх!$C$19</f>
        <v>0</v>
      </c>
      <c r="AL8" s="132">
        <f>AK8+'2-ф2'!AL5-'1-Ф3'!AL9/Исх!$C$19</f>
        <v>0</v>
      </c>
      <c r="AM8" s="132">
        <f>AL8+'2-ф2'!AM5-'1-Ф3'!AM9/Исх!$C$19</f>
        <v>0</v>
      </c>
      <c r="AN8" s="132">
        <f>AM8+'2-ф2'!AN5-'1-Ф3'!AN9/Исх!$C$19</f>
        <v>0</v>
      </c>
      <c r="AO8" s="132">
        <f>AN8+'2-ф2'!AO5-'1-Ф3'!AO9/Исх!$C$19</f>
        <v>0</v>
      </c>
      <c r="AP8" s="132">
        <f>AO8</f>
        <v>0</v>
      </c>
      <c r="AQ8" s="132">
        <f>AP8+'2-ф2'!AQ5-'1-Ф3'!AQ9/Исх!$C$19</f>
        <v>0</v>
      </c>
      <c r="AR8" s="132">
        <f>AQ8+'2-ф2'!AR5-'1-Ф3'!AR9/Исх!$C$19</f>
        <v>0</v>
      </c>
      <c r="AS8" s="132">
        <f>AR8+'2-ф2'!AS5-'1-Ф3'!AS9/Исх!$C$19</f>
        <v>0</v>
      </c>
      <c r="AT8" s="132">
        <f>AS8+'2-ф2'!AT5-'1-Ф3'!AT9/Исх!$C$19</f>
        <v>0</v>
      </c>
      <c r="AU8" s="132">
        <f>AT8+'2-ф2'!AU5-'1-Ф3'!AU9/Исх!$C$19</f>
        <v>0</v>
      </c>
    </row>
    <row r="9" spans="1:47" ht="15" customHeight="1">
      <c r="A9" s="131" t="s">
        <v>118</v>
      </c>
      <c r="B9" s="127"/>
      <c r="C9" s="132"/>
      <c r="D9" s="132">
        <f>C9+'1-Ф3'!D13/Исх!$C$19-'2-ф2'!D9</f>
        <v>0</v>
      </c>
      <c r="E9" s="132">
        <f>D9+'1-Ф3'!E13/Исх!$C$19-'2-ф2'!E9</f>
        <v>0</v>
      </c>
      <c r="F9" s="132">
        <f>E9+'1-Ф3'!F13/Исх!$C$19-'2-ф2'!F9</f>
        <v>0</v>
      </c>
      <c r="G9" s="132">
        <f>F9+'1-Ф3'!G13/Исх!$C$19-'2-ф2'!G9</f>
        <v>0</v>
      </c>
      <c r="H9" s="132">
        <f>G9+'1-Ф3'!H13/Исх!$C$19-'2-ф2'!H9</f>
        <v>0</v>
      </c>
      <c r="I9" s="132">
        <f>H9+'1-Ф3'!I13/Исх!$C$19-'2-ф2'!I9</f>
        <v>0</v>
      </c>
      <c r="J9" s="132">
        <f>I9+'1-Ф3'!J13/Исх!$C$19-'2-ф2'!J9</f>
        <v>0</v>
      </c>
      <c r="K9" s="132">
        <f>J9+'1-Ф3'!K13/Исх!$C$19-'2-ф2'!K9</f>
        <v>0</v>
      </c>
      <c r="L9" s="132">
        <f>K9+'1-Ф3'!L13/Исх!$C$19-'2-ф2'!L8</f>
        <v>0</v>
      </c>
      <c r="M9" s="132">
        <f>L9+'1-Ф3'!M13/Исх!$C$19-'2-ф2'!M8</f>
        <v>0</v>
      </c>
      <c r="N9" s="132">
        <f>M9+'1-Ф3'!N13/Исх!$C$19-'2-ф2'!N8</f>
        <v>0</v>
      </c>
      <c r="O9" s="132">
        <f>N9+'1-Ф3'!O13/Исх!$C$19-'2-ф2'!O8</f>
        <v>1246.2967999999996</v>
      </c>
      <c r="P9" s="132">
        <f>O9</f>
        <v>1246.2967999999996</v>
      </c>
      <c r="Q9" s="132">
        <f>P9+'1-Ф3'!Q13/Исх!$C$19-'2-ф2'!Q8</f>
        <v>1704.7559799999995</v>
      </c>
      <c r="R9" s="132">
        <f>Q9+'1-Ф3'!R13/Исх!$C$19-'2-ф2'!R8</f>
        <v>1848.0801119999992</v>
      </c>
      <c r="S9" s="132">
        <f>R9+'1-Ф3'!S13/Исх!$C$19-'2-ф2'!S8</f>
        <v>1833.836719999999</v>
      </c>
      <c r="T9" s="132">
        <f>S9+'1-Ф3'!T13/Исх!$C$19-'2-ф2'!T8</f>
        <v>1819.5933279999988</v>
      </c>
      <c r="U9" s="132">
        <f>T9+'1-Ф3'!U13/Исх!$C$19-'2-ф2'!U8</f>
        <v>1490.2148879999986</v>
      </c>
      <c r="V9" s="132">
        <f>U9+'1-Ф3'!V13/Исх!$C$19-'2-ф2'!V8</f>
        <v>1436.5796149999985</v>
      </c>
      <c r="W9" s="132">
        <f>V9+'1-Ф3'!W13/Исх!$C$19-'2-ф2'!W8</f>
        <v>1637.4114421999984</v>
      </c>
      <c r="X9" s="132">
        <f>W9+'1-Ф3'!X13/Исх!$C$19-'2-ф2'!X8</f>
        <v>1838.2432693999986</v>
      </c>
      <c r="Y9" s="132">
        <f>X9+'1-Ф3'!Y13/Исх!$C$19-'2-ф2'!Y8</f>
        <v>1597.8860293999987</v>
      </c>
      <c r="Z9" s="132">
        <f>Y9+'1-Ф3'!Z13/Исх!$C$19-'2-ф2'!Z8</f>
        <v>1761.685037399999</v>
      </c>
      <c r="AA9" s="132">
        <f>Z9+'1-Ф3'!AA13/Исх!$C$19-'2-ф2'!AA8</f>
        <v>2240.619093399999</v>
      </c>
      <c r="AB9" s="132">
        <f>AA9+'1-Ф3'!AB13/Исх!$C$19-'2-ф2'!AB8</f>
        <v>3192.2557213999994</v>
      </c>
      <c r="AC9" s="132">
        <f>AB9</f>
        <v>3192.2557213999994</v>
      </c>
      <c r="AD9" s="132">
        <f>AC9+'1-Ф3'!AD13/Исх!$C$19-'2-ф2'!AD8</f>
        <v>3708.5786813999994</v>
      </c>
      <c r="AE9" s="132">
        <f>AD9+'1-Ф3'!AE13/Исх!$C$19-'2-ф2'!AE8</f>
        <v>3861.695145399999</v>
      </c>
      <c r="AF9" s="132">
        <f>AE9+'1-Ф3'!AF13/Исх!$C$19-'2-ф2'!AF8</f>
        <v>3833.2083614</v>
      </c>
      <c r="AG9" s="132">
        <f>AF9+'1-Ф3'!AG13/Исх!$C$19-'2-ф2'!AG8</f>
        <v>3804.7215774</v>
      </c>
      <c r="AH9" s="132">
        <f>AG9+'1-Ф3'!AH13/Исх!$C$19-'2-ф2'!AH8</f>
        <v>3413.0282974</v>
      </c>
      <c r="AI9" s="132">
        <f>AH9+'1-Ф3'!AI13/Исх!$C$19-'2-ф2'!AI8</f>
        <v>2839.731769400001</v>
      </c>
      <c r="AJ9" s="132">
        <f>AI9+'1-Ф3'!AJ13/Исх!$C$19-'2-ф2'!AJ8</f>
        <v>2262.8743934000017</v>
      </c>
      <c r="AK9" s="132">
        <f>AJ9+'1-Ф3'!AK13/Исх!$C$19-'2-ф2'!AK8</f>
        <v>1794.978966200002</v>
      </c>
      <c r="AL9" s="132">
        <f>AK9+'1-Ф3'!AL13/Исх!$C$19-'2-ф2'!AL8</f>
        <v>1853.7329582000023</v>
      </c>
      <c r="AM9" s="132">
        <f>AL9+'1-Ф3'!AM13/Исх!$C$19-'2-ф2'!AM8</f>
        <v>2003.2885742000021</v>
      </c>
      <c r="AN9" s="132">
        <f>AM9+'1-Ф3'!AN13/Исх!$C$19-'2-ф2'!AN8</f>
        <v>2516.050686200002</v>
      </c>
      <c r="AO9" s="132">
        <f>AN9+'1-Ф3'!AO13/Исх!$C$19-'2-ф2'!AO8</f>
        <v>3573.622542200002</v>
      </c>
      <c r="AP9" s="132">
        <f>AO9</f>
        <v>3573.622542200002</v>
      </c>
      <c r="AQ9" s="132">
        <f>AP9+'1-Ф3'!AQ13/Исх!$C$19-'2-ф2'!AQ8</f>
        <v>3573.6225422000025</v>
      </c>
      <c r="AR9" s="132">
        <f>AQ9+'1-Ф3'!AR13/Исх!$C$19-'2-ф2'!AR8</f>
        <v>3573.6225422000025</v>
      </c>
      <c r="AS9" s="132">
        <f>AR9+'1-Ф3'!AS13/Исх!$C$19-'2-ф2'!AS8</f>
        <v>3573.6225422000025</v>
      </c>
      <c r="AT9" s="132">
        <f>AS9+'1-Ф3'!AT13/Исх!$C$19-'2-ф2'!AT8</f>
        <v>3573.6225422000025</v>
      </c>
      <c r="AU9" s="132">
        <f>AT9+'1-Ф3'!AU13/Исх!$C$19-'2-ф2'!AU8</f>
        <v>3573.6225422000025</v>
      </c>
    </row>
    <row r="10" spans="1:47" ht="15" customHeight="1">
      <c r="A10" s="131" t="s">
        <v>119</v>
      </c>
      <c r="B10" s="127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>
        <f>O10</f>
        <v>0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>
        <f>AB10</f>
        <v>0</v>
      </c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>
        <f>AO10</f>
        <v>0</v>
      </c>
      <c r="AQ10" s="132"/>
      <c r="AR10" s="132"/>
      <c r="AS10" s="132"/>
      <c r="AT10" s="132"/>
      <c r="AU10" s="132"/>
    </row>
    <row r="11" spans="1:47" ht="15" customHeight="1">
      <c r="A11" s="126" t="s">
        <v>120</v>
      </c>
      <c r="B11" s="127"/>
      <c r="C11" s="128">
        <f aca="true" t="shared" si="7" ref="C11:AT11">SUM(C12:C14)</f>
        <v>0</v>
      </c>
      <c r="D11" s="128">
        <f t="shared" si="7"/>
        <v>0</v>
      </c>
      <c r="E11" s="128">
        <f t="shared" si="7"/>
        <v>0</v>
      </c>
      <c r="F11" s="128">
        <f t="shared" si="7"/>
        <v>0</v>
      </c>
      <c r="G11" s="128">
        <f t="shared" si="7"/>
        <v>0</v>
      </c>
      <c r="H11" s="128">
        <f t="shared" si="7"/>
        <v>0</v>
      </c>
      <c r="I11" s="128">
        <f t="shared" si="7"/>
        <v>0</v>
      </c>
      <c r="J11" s="128">
        <f t="shared" si="7"/>
        <v>0</v>
      </c>
      <c r="K11" s="128">
        <f t="shared" si="7"/>
        <v>0</v>
      </c>
      <c r="L11" s="128">
        <f t="shared" si="7"/>
        <v>0</v>
      </c>
      <c r="M11" s="128">
        <f t="shared" si="7"/>
        <v>9250.622399999998</v>
      </c>
      <c r="N11" s="128">
        <f t="shared" si="7"/>
        <v>9330.244799999999</v>
      </c>
      <c r="O11" s="128">
        <f t="shared" si="7"/>
        <v>10806.840416</v>
      </c>
      <c r="P11" s="128">
        <f t="shared" si="7"/>
        <v>10806.840416</v>
      </c>
      <c r="Q11" s="128">
        <f t="shared" si="7"/>
        <v>10755.850768190474</v>
      </c>
      <c r="R11" s="128">
        <f t="shared" si="7"/>
        <v>10630.900406095236</v>
      </c>
      <c r="S11" s="128">
        <f t="shared" si="7"/>
        <v>10468.969686857141</v>
      </c>
      <c r="T11" s="128">
        <f t="shared" si="7"/>
        <v>10307.038967619046</v>
      </c>
      <c r="U11" s="128">
        <f t="shared" si="7"/>
        <v>10071.147534095235</v>
      </c>
      <c r="V11" s="128">
        <f t="shared" si="7"/>
        <v>9899.971725571426</v>
      </c>
      <c r="W11" s="128">
        <f t="shared" si="7"/>
        <v>9778.307836047616</v>
      </c>
      <c r="X11" s="128">
        <f t="shared" si="7"/>
        <v>9656.643946523805</v>
      </c>
      <c r="Y11" s="128">
        <f t="shared" si="7"/>
        <v>9431.435056999997</v>
      </c>
      <c r="Z11" s="128">
        <f t="shared" si="7"/>
        <v>9290.8694257619</v>
      </c>
      <c r="AA11" s="128">
        <f t="shared" si="7"/>
        <v>9224.26450880952</v>
      </c>
      <c r="AB11" s="128">
        <f t="shared" si="7"/>
        <v>9268.60066328571</v>
      </c>
      <c r="AC11" s="128">
        <f t="shared" si="7"/>
        <v>9268.60066328571</v>
      </c>
      <c r="AD11" s="128">
        <f aca="true" t="shared" si="8" ref="AD11:AP11">SUM(AD12:AD14)</f>
        <v>9212.950006333329</v>
      </c>
      <c r="AE11" s="128">
        <f t="shared" si="8"/>
        <v>9072.05649223809</v>
      </c>
      <c r="AF11" s="128">
        <f t="shared" si="8"/>
        <v>8888.541549571424</v>
      </c>
      <c r="AG11" s="128">
        <f t="shared" si="8"/>
        <v>8705.026606904758</v>
      </c>
      <c r="AH11" s="128">
        <f t="shared" si="8"/>
        <v>8554.087309523804</v>
      </c>
      <c r="AI11" s="128">
        <f t="shared" si="8"/>
        <v>8497.537571428566</v>
      </c>
      <c r="AJ11" s="128">
        <f t="shared" si="8"/>
        <v>8440.987833333327</v>
      </c>
      <c r="AK11" s="128">
        <f t="shared" si="8"/>
        <v>8384.438095238089</v>
      </c>
      <c r="AL11" s="128">
        <f t="shared" si="8"/>
        <v>8327.88835714285</v>
      </c>
      <c r="AM11" s="128">
        <f t="shared" si="8"/>
        <v>8271.338619047612</v>
      </c>
      <c r="AN11" s="128">
        <f t="shared" si="8"/>
        <v>8214.788880952374</v>
      </c>
      <c r="AO11" s="128">
        <f t="shared" si="8"/>
        <v>8158.239142857135</v>
      </c>
      <c r="AP11" s="128">
        <f t="shared" si="8"/>
        <v>8158.239142857135</v>
      </c>
      <c r="AQ11" s="128">
        <f t="shared" si="7"/>
        <v>7479.642285714279</v>
      </c>
      <c r="AR11" s="128">
        <f t="shared" si="7"/>
        <v>6801.045428571422</v>
      </c>
      <c r="AS11" s="128">
        <f t="shared" si="7"/>
        <v>6122.448571428566</v>
      </c>
      <c r="AT11" s="128">
        <f t="shared" si="7"/>
        <v>5443.851714285709</v>
      </c>
      <c r="AU11" s="128">
        <f>SUM(AU12:AU14)</f>
        <v>4765.254857142852</v>
      </c>
    </row>
    <row r="12" spans="1:47" ht="12.75">
      <c r="A12" s="131" t="s">
        <v>121</v>
      </c>
      <c r="B12" s="133"/>
      <c r="C12" s="132"/>
      <c r="D12" s="132">
        <f>C12+'1-Ф3'!D21/Исх!$C$19-'2-ф2'!D12</f>
        <v>0</v>
      </c>
      <c r="E12" s="132">
        <f>D12+'1-Ф3'!E21/Исх!$C$19-'2-ф2'!E12</f>
        <v>0</v>
      </c>
      <c r="F12" s="132">
        <f>E12+'1-Ф3'!F21/Исх!$C$19-'2-ф2'!F12</f>
        <v>0</v>
      </c>
      <c r="G12" s="132">
        <f>F12+'1-Ф3'!G21/Исх!$C$19-'2-ф2'!G12</f>
        <v>0</v>
      </c>
      <c r="H12" s="132">
        <f>G12+'1-Ф3'!H21/Исх!$C$19-'2-ф2'!H12</f>
        <v>0</v>
      </c>
      <c r="I12" s="132">
        <f>H12+'1-Ф3'!I21/Исх!$C$19-'2-ф2'!I12</f>
        <v>0</v>
      </c>
      <c r="J12" s="132">
        <f>I12+'1-Ф3'!J21/Исх!$C$19-'2-ф2'!J12</f>
        <v>0</v>
      </c>
      <c r="K12" s="132"/>
      <c r="L12" s="132"/>
      <c r="M12" s="132"/>
      <c r="N12" s="132"/>
      <c r="O12" s="132">
        <f>Инв!P27</f>
        <v>9515.432857142856</v>
      </c>
      <c r="P12" s="132">
        <f>O12</f>
        <v>9515.432857142856</v>
      </c>
      <c r="Q12" s="132">
        <f>P12-'2-ф2'!Q12</f>
        <v>9458.883119047618</v>
      </c>
      <c r="R12" s="132">
        <f>Q12-'2-ф2'!R12</f>
        <v>9402.33338095238</v>
      </c>
      <c r="S12" s="132">
        <f>R12-'2-ф2'!S12</f>
        <v>9345.78364285714</v>
      </c>
      <c r="T12" s="132">
        <f>S12-'2-ф2'!T12</f>
        <v>9289.233904761903</v>
      </c>
      <c r="U12" s="132">
        <f>T12-'2-ф2'!U12</f>
        <v>9232.684166666664</v>
      </c>
      <c r="V12" s="132">
        <f>U12-'2-ф2'!V12</f>
        <v>9176.134428571426</v>
      </c>
      <c r="W12" s="132">
        <f>V12-'2-ф2'!W12</f>
        <v>9119.584690476187</v>
      </c>
      <c r="X12" s="132">
        <f>W12-'2-ф2'!X12</f>
        <v>9063.03495238095</v>
      </c>
      <c r="Y12" s="132">
        <f>X12-'2-ф2'!Y12</f>
        <v>9006.48521428571</v>
      </c>
      <c r="Z12" s="132">
        <f>Y12-'2-ф2'!Z12</f>
        <v>8949.935476190472</v>
      </c>
      <c r="AA12" s="132">
        <f>Z12-'2-ф2'!AA12</f>
        <v>8893.385738095234</v>
      </c>
      <c r="AB12" s="132">
        <f>AA12-'2-ф2'!AB12</f>
        <v>8836.835999999996</v>
      </c>
      <c r="AC12" s="132">
        <f>AB12</f>
        <v>8836.835999999996</v>
      </c>
      <c r="AD12" s="132">
        <f>AC12-'2-ф2'!AD12</f>
        <v>8780.286261904757</v>
      </c>
      <c r="AE12" s="132">
        <f>AD12-'2-ф2'!AE12</f>
        <v>8723.736523809519</v>
      </c>
      <c r="AF12" s="132">
        <f>AE12-'2-ф2'!AF12</f>
        <v>8667.18678571428</v>
      </c>
      <c r="AG12" s="132">
        <f>AF12-'2-ф2'!AG12</f>
        <v>8610.637047619042</v>
      </c>
      <c r="AH12" s="132">
        <f>AG12-'2-ф2'!AH12</f>
        <v>8554.087309523804</v>
      </c>
      <c r="AI12" s="132">
        <f>AH12-'2-ф2'!AI12</f>
        <v>8497.537571428566</v>
      </c>
      <c r="AJ12" s="132">
        <f>AI12-'2-ф2'!AJ12</f>
        <v>8440.987833333327</v>
      </c>
      <c r="AK12" s="132">
        <f>AJ12-'2-ф2'!AK12</f>
        <v>8384.438095238089</v>
      </c>
      <c r="AL12" s="132">
        <f>AK12-'2-ф2'!AL12</f>
        <v>8327.88835714285</v>
      </c>
      <c r="AM12" s="132">
        <f>AL12-'2-ф2'!AM12</f>
        <v>8271.338619047612</v>
      </c>
      <c r="AN12" s="132">
        <f>AM12-'2-ф2'!AN12</f>
        <v>8214.788880952374</v>
      </c>
      <c r="AO12" s="132">
        <f>AN12-'2-ф2'!AO12</f>
        <v>8158.239142857135</v>
      </c>
      <c r="AP12" s="132">
        <f>AO12</f>
        <v>8158.239142857135</v>
      </c>
      <c r="AQ12" s="132">
        <f>AP12-'2-ф2'!AQ12</f>
        <v>7479.642285714279</v>
      </c>
      <c r="AR12" s="132">
        <f>AQ12-'2-ф2'!AR12</f>
        <v>6801.045428571422</v>
      </c>
      <c r="AS12" s="132">
        <f>AR12-'2-ф2'!AS12</f>
        <v>6122.448571428566</v>
      </c>
      <c r="AT12" s="132">
        <f>AS12-'2-ф2'!AT12</f>
        <v>5443.851714285709</v>
      </c>
      <c r="AU12" s="132">
        <f>AT12-'2-ф2'!AU12</f>
        <v>4765.254857142852</v>
      </c>
    </row>
    <row r="13" spans="1:47" ht="12.75">
      <c r="A13" s="131" t="s">
        <v>249</v>
      </c>
      <c r="B13" s="133"/>
      <c r="C13" s="132"/>
      <c r="D13" s="132">
        <f aca="true" t="shared" si="9" ref="D13:J13">C13</f>
        <v>0</v>
      </c>
      <c r="E13" s="132">
        <f t="shared" si="9"/>
        <v>0</v>
      </c>
      <c r="F13" s="132">
        <f t="shared" si="9"/>
        <v>0</v>
      </c>
      <c r="G13" s="132">
        <f t="shared" si="9"/>
        <v>0</v>
      </c>
      <c r="H13" s="132">
        <f t="shared" si="9"/>
        <v>0</v>
      </c>
      <c r="I13" s="132">
        <f t="shared" si="9"/>
        <v>0</v>
      </c>
      <c r="J13" s="132">
        <f t="shared" si="9"/>
        <v>0</v>
      </c>
      <c r="K13" s="132">
        <f>Инв!L24/Исх!$C$19</f>
        <v>0</v>
      </c>
      <c r="L13" s="132">
        <f>Инв!M24/Исх!$C$19</f>
        <v>0</v>
      </c>
      <c r="M13" s="132">
        <f>Инв!N24/Исх!$C$19</f>
        <v>8188.392857142856</v>
      </c>
      <c r="N13" s="132">
        <f>Инв!O24/Исх!$C$19</f>
        <v>8188.392857142856</v>
      </c>
      <c r="O13" s="132">
        <f>Инв!P24/Исх!$C$19</f>
        <v>0</v>
      </c>
      <c r="P13" s="132">
        <f>O13</f>
        <v>0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>
        <f>AB13</f>
        <v>0</v>
      </c>
      <c r="AD13" s="132"/>
      <c r="AE13" s="132">
        <f aca="true" t="shared" si="10" ref="AE13:AO13">AD13</f>
        <v>0</v>
      </c>
      <c r="AF13" s="132">
        <f t="shared" si="10"/>
        <v>0</v>
      </c>
      <c r="AG13" s="132">
        <f t="shared" si="10"/>
        <v>0</v>
      </c>
      <c r="AH13" s="132">
        <f t="shared" si="10"/>
        <v>0</v>
      </c>
      <c r="AI13" s="132">
        <f t="shared" si="10"/>
        <v>0</v>
      </c>
      <c r="AJ13" s="132">
        <f t="shared" si="10"/>
        <v>0</v>
      </c>
      <c r="AK13" s="132">
        <f t="shared" si="10"/>
        <v>0</v>
      </c>
      <c r="AL13" s="132">
        <f t="shared" si="10"/>
        <v>0</v>
      </c>
      <c r="AM13" s="132">
        <f t="shared" si="10"/>
        <v>0</v>
      </c>
      <c r="AN13" s="132">
        <f t="shared" si="10"/>
        <v>0</v>
      </c>
      <c r="AO13" s="132">
        <f t="shared" si="10"/>
        <v>0</v>
      </c>
      <c r="AP13" s="132">
        <f>AO13</f>
        <v>0</v>
      </c>
      <c r="AQ13" s="132">
        <f>AP13</f>
        <v>0</v>
      </c>
      <c r="AR13" s="132">
        <f>AQ13</f>
        <v>0</v>
      </c>
      <c r="AS13" s="132">
        <f>AR13</f>
        <v>0</v>
      </c>
      <c r="AT13" s="132">
        <f>AS13</f>
        <v>0</v>
      </c>
      <c r="AU13" s="132">
        <f>AT13</f>
        <v>0</v>
      </c>
    </row>
    <row r="14" spans="1:47" ht="12.75">
      <c r="A14" s="131" t="s">
        <v>122</v>
      </c>
      <c r="B14" s="133"/>
      <c r="C14" s="132"/>
      <c r="D14" s="132">
        <f>IF('2-ф2'!D27&lt;0,-'2-ф2'!D27,0)</f>
        <v>0</v>
      </c>
      <c r="E14" s="132">
        <f>IF('2-ф2'!E27&lt;0,-'2-ф2'!E27,0)</f>
        <v>0</v>
      </c>
      <c r="F14" s="132">
        <f>IF('2-ф2'!F27&lt;0,-'2-ф2'!F27,0)</f>
        <v>0</v>
      </c>
      <c r="G14" s="132">
        <f>IF('2-ф2'!G27&lt;0,-'2-ф2'!G27,0)</f>
        <v>0</v>
      </c>
      <c r="H14" s="132">
        <f>IF('2-ф2'!H27&lt;0,-'2-ф2'!H27,0)</f>
        <v>0</v>
      </c>
      <c r="I14" s="132">
        <f>IF('2-ф2'!I27&lt;0,-'2-ф2'!I27,0)</f>
        <v>0</v>
      </c>
      <c r="J14" s="132">
        <f>IF('2-ф2'!J27&lt;0,-'2-ф2'!J27,0)</f>
        <v>0</v>
      </c>
      <c r="K14" s="132">
        <f>IF('2-ф2'!K27&lt;0,-'2-ф2'!K27,0)</f>
        <v>0</v>
      </c>
      <c r="L14" s="132">
        <f>IF('2-ф2'!L27&lt;0,-'2-ф2'!L27,0)</f>
        <v>0</v>
      </c>
      <c r="M14" s="132">
        <f>IF('2-ф2'!M27&lt;0,-'2-ф2'!M27,0)</f>
        <v>1062.2295428571429</v>
      </c>
      <c r="N14" s="132">
        <f>IF('2-ф2'!N27&lt;0,-'2-ф2'!N27,0)</f>
        <v>1141.8519428571428</v>
      </c>
      <c r="O14" s="132">
        <f>IF('2-ф2'!O27&lt;0,-'2-ф2'!O27,0)</f>
        <v>1291.4075588571427</v>
      </c>
      <c r="P14" s="132">
        <f>O14</f>
        <v>1291.4075588571427</v>
      </c>
      <c r="Q14" s="132">
        <f>IF('2-ф2'!Q27&lt;0,-'2-ф2'!Q27,0)</f>
        <v>1296.967649142857</v>
      </c>
      <c r="R14" s="132">
        <f>IF('2-ф2'!R27&lt;0,-'2-ф2'!R27,0)</f>
        <v>1228.567025142857</v>
      </c>
      <c r="S14" s="132">
        <f>IF('2-ф2'!S27&lt;0,-'2-ф2'!S27,0)</f>
        <v>1123.1860439999998</v>
      </c>
      <c r="T14" s="132">
        <f>IF('2-ф2'!T27&lt;0,-'2-ф2'!T27,0)</f>
        <v>1017.8050628571427</v>
      </c>
      <c r="U14" s="132">
        <f>IF('2-ф2'!U27&lt;0,-'2-ф2'!U27,0)</f>
        <v>838.4633674285712</v>
      </c>
      <c r="V14" s="132">
        <f>IF('2-ф2'!V27&lt;0,-'2-ф2'!V27,0)</f>
        <v>723.8372969999998</v>
      </c>
      <c r="W14" s="132">
        <f>IF('2-ф2'!W27&lt;0,-'2-ф2'!W27,0)</f>
        <v>658.7231455714284</v>
      </c>
      <c r="X14" s="132">
        <f>IF('2-ф2'!X27&lt;0,-'2-ф2'!X27,0)</f>
        <v>593.608994142857</v>
      </c>
      <c r="Y14" s="132">
        <f>IF('2-ф2'!Y27&lt;0,-'2-ф2'!Y27,0)</f>
        <v>424.9498427142856</v>
      </c>
      <c r="Z14" s="132">
        <f>IF('2-ф2'!Z27&lt;0,-'2-ф2'!Z27,0)</f>
        <v>340.93394957142857</v>
      </c>
      <c r="AA14" s="132">
        <f>IF('2-ф2'!AA27&lt;0,-'2-ф2'!AA27,0)</f>
        <v>330.8787707142858</v>
      </c>
      <c r="AB14" s="132">
        <f>IF('2-ф2'!AB27&lt;0,-'2-ф2'!AB27,0)</f>
        <v>431.7646632857144</v>
      </c>
      <c r="AC14" s="132">
        <f>AB14</f>
        <v>431.7646632857144</v>
      </c>
      <c r="AD14" s="132">
        <f>IF('2-ф2'!AD27&lt;0,-'2-ф2'!AD27,0)</f>
        <v>432.6637444285716</v>
      </c>
      <c r="AE14" s="132">
        <f>IF('2-ф2'!AE27&lt;0,-'2-ф2'!AE27,0)</f>
        <v>348.31996842857166</v>
      </c>
      <c r="AF14" s="132">
        <f>IF('2-ф2'!AF27&lt;0,-'2-ф2'!AF27,0)</f>
        <v>221.35476385714315</v>
      </c>
      <c r="AG14" s="132">
        <f>IF('2-ф2'!AG27&lt;0,-'2-ф2'!AG27,0)</f>
        <v>94.38955928571465</v>
      </c>
      <c r="AH14" s="132">
        <f>IF('2-ф2'!AH27&lt;0,-'2-ф2'!AH27,0)</f>
        <v>0</v>
      </c>
      <c r="AI14" s="132">
        <f>IF('2-ф2'!AI27&lt;0,-'2-ф2'!AI27,0)</f>
        <v>0</v>
      </c>
      <c r="AJ14" s="132">
        <f>IF('2-ф2'!AJ27&lt;0,-'2-ф2'!AJ27,0)</f>
        <v>0</v>
      </c>
      <c r="AK14" s="132">
        <f>IF('2-ф2'!AK27&lt;0,-'2-ф2'!AK27,0)</f>
        <v>0</v>
      </c>
      <c r="AL14" s="132">
        <f>IF('2-ф2'!AL27&lt;0,-'2-ф2'!AL27,0)</f>
        <v>0</v>
      </c>
      <c r="AM14" s="132">
        <f>IF('2-ф2'!AM27&lt;0,-'2-ф2'!AM27,0)</f>
        <v>0</v>
      </c>
      <c r="AN14" s="132">
        <f>IF('2-ф2'!AN27&lt;0,-'2-ф2'!AN27,0)</f>
        <v>0</v>
      </c>
      <c r="AO14" s="132">
        <f>IF('2-ф2'!AO27&lt;0,-'2-ф2'!AO27,0)</f>
        <v>0</v>
      </c>
      <c r="AP14" s="132">
        <f>AO14</f>
        <v>0</v>
      </c>
      <c r="AQ14" s="132">
        <f>IF('2-ф2'!AQ27&lt;0,-'2-ф2'!AQ27,0)</f>
        <v>0</v>
      </c>
      <c r="AR14" s="132">
        <f>IF('2-ф2'!AR27&lt;0,-'2-ф2'!AR27,0)</f>
        <v>0</v>
      </c>
      <c r="AS14" s="132">
        <f>IF('2-ф2'!AS27&lt;0,-'2-ф2'!AS27,0)</f>
        <v>0</v>
      </c>
      <c r="AT14" s="132">
        <f>IF('2-ф2'!AT27&lt;0,-'2-ф2'!AT27,0)</f>
        <v>0</v>
      </c>
      <c r="AU14" s="132">
        <f>IF('2-ф2'!AU27&lt;0,-'2-ф2'!AU27,0)</f>
        <v>0</v>
      </c>
    </row>
    <row r="15" spans="1:196" ht="12.75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</row>
    <row r="16" spans="1:54" s="130" customFormat="1" ht="15" customHeight="1">
      <c r="A16" s="126" t="s">
        <v>123</v>
      </c>
      <c r="B16" s="127"/>
      <c r="C16" s="127">
        <f aca="true" t="shared" si="11" ref="C16:AT16">C21+C24+C17</f>
        <v>0</v>
      </c>
      <c r="D16" s="127">
        <f t="shared" si="11"/>
        <v>0</v>
      </c>
      <c r="E16" s="127">
        <f t="shared" si="11"/>
        <v>0</v>
      </c>
      <c r="F16" s="127">
        <f t="shared" si="11"/>
        <v>0</v>
      </c>
      <c r="G16" s="127">
        <f t="shared" si="11"/>
        <v>0</v>
      </c>
      <c r="H16" s="127">
        <f t="shared" si="11"/>
        <v>0</v>
      </c>
      <c r="I16" s="127">
        <f t="shared" si="11"/>
        <v>0</v>
      </c>
      <c r="J16" s="127">
        <f t="shared" si="11"/>
        <v>0</v>
      </c>
      <c r="K16" s="127">
        <f t="shared" si="11"/>
        <v>0</v>
      </c>
      <c r="L16" s="127">
        <f t="shared" si="11"/>
        <v>0</v>
      </c>
      <c r="M16" s="127">
        <f t="shared" si="11"/>
        <v>9914.1424</v>
      </c>
      <c r="N16" s="127">
        <f t="shared" si="11"/>
        <v>10657.284800000001</v>
      </c>
      <c r="O16" s="127">
        <f t="shared" si="11"/>
        <v>13043.137216000003</v>
      </c>
      <c r="P16" s="127">
        <f t="shared" si="11"/>
        <v>13043.137216000003</v>
      </c>
      <c r="Q16" s="127">
        <f t="shared" si="11"/>
        <v>12813.337904154763</v>
      </c>
      <c r="R16" s="127">
        <f t="shared" si="11"/>
        <v>12884.74283002381</v>
      </c>
      <c r="S16" s="127">
        <f t="shared" si="11"/>
        <v>13106.749874750001</v>
      </c>
      <c r="T16" s="127">
        <f t="shared" si="11"/>
        <v>13328.75691947619</v>
      </c>
      <c r="U16" s="127">
        <f t="shared" si="11"/>
        <v>13716.917690541335</v>
      </c>
      <c r="V16" s="127">
        <f t="shared" si="11"/>
        <v>13873.169064509717</v>
      </c>
      <c r="W16" s="127">
        <f t="shared" si="11"/>
        <v>13902.914658638098</v>
      </c>
      <c r="X16" s="127">
        <f t="shared" si="11"/>
        <v>13823.20568484988</v>
      </c>
      <c r="Y16" s="127">
        <f t="shared" si="11"/>
        <v>14072.51328562598</v>
      </c>
      <c r="Z16" s="127">
        <f t="shared" si="11"/>
        <v>14080.719482448483</v>
      </c>
      <c r="AA16" s="127">
        <f t="shared" si="11"/>
        <v>13847.823470236988</v>
      </c>
      <c r="AB16" s="127">
        <f t="shared" si="11"/>
        <v>13253.342744129086</v>
      </c>
      <c r="AC16" s="127">
        <f t="shared" si="11"/>
        <v>13253.342744129086</v>
      </c>
      <c r="AD16" s="127">
        <f aca="true" t="shared" si="12" ref="AD16:AP16">AD21+AD24+AD17</f>
        <v>12954.576061795806</v>
      </c>
      <c r="AE16" s="127">
        <f t="shared" si="12"/>
        <v>12933.38863455693</v>
      </c>
      <c r="AF16" s="127">
        <f t="shared" si="12"/>
        <v>13050.919379638983</v>
      </c>
      <c r="AG16" s="127">
        <f t="shared" si="12"/>
        <v>13168.307209461651</v>
      </c>
      <c r="AH16" s="127">
        <f t="shared" si="12"/>
        <v>13563.271807838299</v>
      </c>
      <c r="AI16" s="127">
        <f t="shared" si="12"/>
        <v>14096.952077490638</v>
      </c>
      <c r="AJ16" s="127">
        <f t="shared" si="12"/>
        <v>14769.34717499177</v>
      </c>
      <c r="AK16" s="127">
        <f t="shared" si="12"/>
        <v>15358.279838006247</v>
      </c>
      <c r="AL16" s="127">
        <f t="shared" si="12"/>
        <v>15544.370618129924</v>
      </c>
      <c r="AM16" s="127">
        <f t="shared" si="12"/>
        <v>15660.883278072528</v>
      </c>
      <c r="AN16" s="127">
        <f t="shared" si="12"/>
        <v>15499.52656644005</v>
      </c>
      <c r="AO16" s="127">
        <f t="shared" si="12"/>
        <v>14921.439356174113</v>
      </c>
      <c r="AP16" s="127">
        <f t="shared" si="12"/>
        <v>14921.439356174113</v>
      </c>
      <c r="AQ16" s="127">
        <f t="shared" si="11"/>
        <v>18029.11709023683</v>
      </c>
      <c r="AR16" s="127">
        <f t="shared" si="11"/>
        <v>21450.64274661954</v>
      </c>
      <c r="AS16" s="127">
        <f t="shared" si="11"/>
        <v>24350.6353912089</v>
      </c>
      <c r="AT16" s="127">
        <f t="shared" si="11"/>
        <v>26702.134822573043</v>
      </c>
      <c r="AU16" s="127">
        <f>AU21+AU24+AU17</f>
        <v>28828.303766799363</v>
      </c>
      <c r="AV16" s="129"/>
      <c r="AW16" s="129"/>
      <c r="AX16" s="129"/>
      <c r="AY16" s="129"/>
      <c r="AZ16" s="129"/>
      <c r="BA16" s="129"/>
      <c r="BB16" s="129"/>
    </row>
    <row r="17" spans="1:47" ht="15" customHeight="1">
      <c r="A17" s="126" t="s">
        <v>124</v>
      </c>
      <c r="B17" s="127"/>
      <c r="C17" s="127">
        <f aca="true" t="shared" si="13" ref="C17:AT17">SUM(C18:C20)</f>
        <v>0</v>
      </c>
      <c r="D17" s="127">
        <f t="shared" si="13"/>
        <v>0</v>
      </c>
      <c r="E17" s="127">
        <f t="shared" si="13"/>
        <v>0</v>
      </c>
      <c r="F17" s="127">
        <f t="shared" si="13"/>
        <v>0</v>
      </c>
      <c r="G17" s="127">
        <f t="shared" si="13"/>
        <v>0</v>
      </c>
      <c r="H17" s="127">
        <f t="shared" si="13"/>
        <v>0</v>
      </c>
      <c r="I17" s="127">
        <f t="shared" si="13"/>
        <v>0</v>
      </c>
      <c r="J17" s="127">
        <f t="shared" si="13"/>
        <v>0</v>
      </c>
      <c r="K17" s="127">
        <f t="shared" si="13"/>
        <v>0</v>
      </c>
      <c r="L17" s="127">
        <f t="shared" si="13"/>
        <v>0</v>
      </c>
      <c r="M17" s="127">
        <f t="shared" si="13"/>
        <v>0</v>
      </c>
      <c r="N17" s="127">
        <f t="shared" si="13"/>
        <v>57.83249733333334</v>
      </c>
      <c r="O17" s="127">
        <f t="shared" si="13"/>
        <v>119.99999200000002</v>
      </c>
      <c r="P17" s="127">
        <f t="shared" si="13"/>
        <v>119.99999200000002</v>
      </c>
      <c r="Q17" s="127">
        <f t="shared" si="13"/>
        <v>182.1674866666667</v>
      </c>
      <c r="R17" s="127">
        <f t="shared" si="13"/>
        <v>244.33498133333336</v>
      </c>
      <c r="S17" s="127">
        <f t="shared" si="13"/>
        <v>306.50247600000006</v>
      </c>
      <c r="T17" s="127">
        <f t="shared" si="13"/>
        <v>21.67498666666671</v>
      </c>
      <c r="U17" s="127">
        <f t="shared" si="13"/>
        <v>4.618527782440651E-14</v>
      </c>
      <c r="V17" s="127">
        <f t="shared" si="13"/>
        <v>4.263256414560601E-14</v>
      </c>
      <c r="W17" s="127">
        <f t="shared" si="13"/>
        <v>4.263256414560601E-14</v>
      </c>
      <c r="X17" s="127">
        <f t="shared" si="13"/>
        <v>4.263256414560601E-14</v>
      </c>
      <c r="Y17" s="127">
        <f t="shared" si="13"/>
        <v>4.263256414560601E-14</v>
      </c>
      <c r="Z17" s="127">
        <f t="shared" si="13"/>
        <v>4.263256414560601E-14</v>
      </c>
      <c r="AA17" s="127">
        <f t="shared" si="13"/>
        <v>4.263256414560601E-14</v>
      </c>
      <c r="AB17" s="127">
        <f t="shared" si="13"/>
        <v>4.263256414560601E-14</v>
      </c>
      <c r="AC17" s="127">
        <f t="shared" si="13"/>
        <v>4.263256414560601E-14</v>
      </c>
      <c r="AD17" s="127">
        <f aca="true" t="shared" si="14" ref="AD17:AP17">SUM(AD18:AD20)</f>
        <v>4.263256414560601E-14</v>
      </c>
      <c r="AE17" s="127">
        <f t="shared" si="14"/>
        <v>4.263256414560601E-14</v>
      </c>
      <c r="AF17" s="127">
        <f t="shared" si="14"/>
        <v>4.263256414560601E-14</v>
      </c>
      <c r="AG17" s="127">
        <f t="shared" si="14"/>
        <v>4.263256414560601E-14</v>
      </c>
      <c r="AH17" s="127">
        <f t="shared" si="14"/>
        <v>4.263256414560601E-14</v>
      </c>
      <c r="AI17" s="127">
        <f t="shared" si="14"/>
        <v>4.263256414560601E-14</v>
      </c>
      <c r="AJ17" s="127">
        <f t="shared" si="14"/>
        <v>4.263256414560601E-14</v>
      </c>
      <c r="AK17" s="127">
        <f t="shared" si="14"/>
        <v>4.263256414560601E-14</v>
      </c>
      <c r="AL17" s="127">
        <f t="shared" si="14"/>
        <v>4.263256414560601E-14</v>
      </c>
      <c r="AM17" s="127">
        <f t="shared" si="14"/>
        <v>4.263256414560601E-14</v>
      </c>
      <c r="AN17" s="127">
        <f t="shared" si="14"/>
        <v>4.263256414560601E-14</v>
      </c>
      <c r="AO17" s="127">
        <f t="shared" si="14"/>
        <v>4.263256414560601E-14</v>
      </c>
      <c r="AP17" s="127">
        <f t="shared" si="14"/>
        <v>4.263256414560601E-14</v>
      </c>
      <c r="AQ17" s="127">
        <f t="shared" si="13"/>
        <v>0</v>
      </c>
      <c r="AR17" s="127">
        <f t="shared" si="13"/>
        <v>0</v>
      </c>
      <c r="AS17" s="127">
        <f t="shared" si="13"/>
        <v>0</v>
      </c>
      <c r="AT17" s="127">
        <f t="shared" si="13"/>
        <v>0</v>
      </c>
      <c r="AU17" s="127">
        <f>SUM(AU18:AU20)</f>
        <v>0</v>
      </c>
    </row>
    <row r="18" spans="1:47" ht="12.75" hidden="1">
      <c r="A18" s="131" t="s">
        <v>125</v>
      </c>
      <c r="B18" s="133"/>
      <c r="C18" s="133"/>
      <c r="D18" s="133">
        <f>C18</f>
        <v>0</v>
      </c>
      <c r="E18" s="133">
        <f>D18</f>
        <v>0</v>
      </c>
      <c r="F18" s="133">
        <f aca="true" t="shared" si="15" ref="F18:O18">E18</f>
        <v>0</v>
      </c>
      <c r="G18" s="133">
        <f t="shared" si="15"/>
        <v>0</v>
      </c>
      <c r="H18" s="133">
        <f t="shared" si="15"/>
        <v>0</v>
      </c>
      <c r="I18" s="133">
        <f t="shared" si="15"/>
        <v>0</v>
      </c>
      <c r="J18" s="133">
        <f t="shared" si="15"/>
        <v>0</v>
      </c>
      <c r="K18" s="133">
        <f t="shared" si="15"/>
        <v>0</v>
      </c>
      <c r="L18" s="133">
        <f t="shared" si="15"/>
        <v>0</v>
      </c>
      <c r="M18" s="133">
        <f t="shared" si="15"/>
        <v>0</v>
      </c>
      <c r="N18" s="133">
        <f t="shared" si="15"/>
        <v>0</v>
      </c>
      <c r="O18" s="133">
        <f t="shared" si="15"/>
        <v>0</v>
      </c>
      <c r="P18" s="133">
        <f>O18</f>
        <v>0</v>
      </c>
      <c r="Q18" s="133">
        <f>P18</f>
        <v>0</v>
      </c>
      <c r="R18" s="133">
        <f>Q18</f>
        <v>0</v>
      </c>
      <c r="S18" s="133">
        <f>R18</f>
        <v>0</v>
      </c>
      <c r="T18" s="133">
        <f>S18</f>
        <v>0</v>
      </c>
      <c r="U18" s="133">
        <f aca="true" t="shared" si="16" ref="U18:AR18">T18</f>
        <v>0</v>
      </c>
      <c r="V18" s="133">
        <f t="shared" si="16"/>
        <v>0</v>
      </c>
      <c r="W18" s="133">
        <f t="shared" si="16"/>
        <v>0</v>
      </c>
      <c r="X18" s="133">
        <f t="shared" si="16"/>
        <v>0</v>
      </c>
      <c r="Y18" s="133">
        <f t="shared" si="16"/>
        <v>0</v>
      </c>
      <c r="Z18" s="133">
        <f t="shared" si="16"/>
        <v>0</v>
      </c>
      <c r="AA18" s="133">
        <f t="shared" si="16"/>
        <v>0</v>
      </c>
      <c r="AB18" s="133">
        <f t="shared" si="16"/>
        <v>0</v>
      </c>
      <c r="AC18" s="133">
        <f t="shared" si="16"/>
        <v>0</v>
      </c>
      <c r="AD18" s="133">
        <f aca="true" t="shared" si="17" ref="AD18:AO18">AC18</f>
        <v>0</v>
      </c>
      <c r="AE18" s="133">
        <f t="shared" si="17"/>
        <v>0</v>
      </c>
      <c r="AF18" s="133">
        <f t="shared" si="17"/>
        <v>0</v>
      </c>
      <c r="AG18" s="133">
        <f t="shared" si="17"/>
        <v>0</v>
      </c>
      <c r="AH18" s="133">
        <f t="shared" si="17"/>
        <v>0</v>
      </c>
      <c r="AI18" s="133">
        <f t="shared" si="17"/>
        <v>0</v>
      </c>
      <c r="AJ18" s="133">
        <f t="shared" si="17"/>
        <v>0</v>
      </c>
      <c r="AK18" s="133">
        <f t="shared" si="17"/>
        <v>0</v>
      </c>
      <c r="AL18" s="133">
        <f t="shared" si="17"/>
        <v>0</v>
      </c>
      <c r="AM18" s="133">
        <f t="shared" si="17"/>
        <v>0</v>
      </c>
      <c r="AN18" s="133">
        <f t="shared" si="17"/>
        <v>0</v>
      </c>
      <c r="AO18" s="133">
        <f t="shared" si="17"/>
        <v>0</v>
      </c>
      <c r="AP18" s="133">
        <f t="shared" si="16"/>
        <v>0</v>
      </c>
      <c r="AQ18" s="133">
        <f t="shared" si="16"/>
        <v>0</v>
      </c>
      <c r="AR18" s="133">
        <f t="shared" si="16"/>
        <v>0</v>
      </c>
      <c r="AS18" s="133">
        <f>AR18</f>
        <v>0</v>
      </c>
      <c r="AT18" s="133">
        <f>AS18</f>
        <v>0</v>
      </c>
      <c r="AU18" s="133">
        <f>AT18</f>
        <v>0</v>
      </c>
    </row>
    <row r="19" spans="1:48" ht="25.5">
      <c r="A19" s="131" t="s">
        <v>126</v>
      </c>
      <c r="B19" s="133"/>
      <c r="C19" s="133"/>
      <c r="D19" s="133">
        <f>C19+'2-ф2'!D13-'1-Ф3'!D15-кр!C23</f>
        <v>0</v>
      </c>
      <c r="E19" s="133">
        <f>D19+'2-ф2'!E13-'1-Ф3'!E15-кр!D23</f>
        <v>0</v>
      </c>
      <c r="F19" s="133">
        <f>E19+'2-ф2'!F13-'1-Ф3'!F15-кр!E23</f>
        <v>0</v>
      </c>
      <c r="G19" s="133">
        <f>F19+'2-ф2'!G13-'1-Ф3'!G15-кр!F23</f>
        <v>0</v>
      </c>
      <c r="H19" s="133">
        <f>G19+'2-ф2'!H13-'1-Ф3'!H15-кр!G23</f>
        <v>0</v>
      </c>
      <c r="I19" s="133">
        <f>H19+'2-ф2'!I13-'1-Ф3'!I15-кр!H23</f>
        <v>0</v>
      </c>
      <c r="J19" s="133">
        <f>I19+'2-ф2'!J13-'1-Ф3'!J15-кр!I23</f>
        <v>0</v>
      </c>
      <c r="K19" s="133">
        <f>J19+'2-ф2'!K13-'1-Ф3'!K15-кр!J23</f>
        <v>0</v>
      </c>
      <c r="L19" s="133">
        <f>K19+'2-ф2'!L13-'1-Ф3'!L15-кр!K23</f>
        <v>0</v>
      </c>
      <c r="M19" s="133">
        <f>L19+'2-ф2'!M13-'1-Ф3'!M15-кр!L23</f>
        <v>0</v>
      </c>
      <c r="N19" s="133">
        <f>M19+'2-ф2'!N13-'1-Ф3'!N15-кр!M23</f>
        <v>57.83249733333334</v>
      </c>
      <c r="O19" s="133">
        <f>N19+'2-ф2'!O13-'1-Ф3'!O15-кр!N23</f>
        <v>119.99999200000002</v>
      </c>
      <c r="P19" s="133">
        <f>O19</f>
        <v>119.99999200000002</v>
      </c>
      <c r="Q19" s="133">
        <f>P19+'2-ф2'!Q13-'1-Ф3'!Q15-кр!P23</f>
        <v>182.1674866666667</v>
      </c>
      <c r="R19" s="133">
        <f>Q19+'2-ф2'!R13-'1-Ф3'!R15-кр!Q23</f>
        <v>244.33498133333336</v>
      </c>
      <c r="S19" s="133">
        <f>R19+'2-ф2'!S13-'1-Ф3'!S15-кр!R23</f>
        <v>306.50247600000006</v>
      </c>
      <c r="T19" s="133">
        <f>S19+'2-ф2'!T13-'1-Ф3'!T15-кр!S23</f>
        <v>21.67498666666671</v>
      </c>
      <c r="U19" s="133">
        <f>T19+'2-ф2'!U13-'1-Ф3'!U15-кр!T23</f>
        <v>4.618527782440651E-14</v>
      </c>
      <c r="V19" s="133">
        <f>U19+'2-ф2'!V13-'1-Ф3'!V15-кр!U23</f>
        <v>4.263256414560601E-14</v>
      </c>
      <c r="W19" s="133">
        <f>V19+'2-ф2'!W13-'1-Ф3'!W15-кр!V23</f>
        <v>4.263256414560601E-14</v>
      </c>
      <c r="X19" s="133">
        <f>W19+'2-ф2'!X13-'1-Ф3'!X15-кр!W23</f>
        <v>4.263256414560601E-14</v>
      </c>
      <c r="Y19" s="133">
        <f>X19+'2-ф2'!Y13-'1-Ф3'!Y15-кр!X23</f>
        <v>4.263256414560601E-14</v>
      </c>
      <c r="Z19" s="133">
        <f>Y19+'2-ф2'!Z13-'1-Ф3'!Z15-кр!Y23</f>
        <v>4.263256414560601E-14</v>
      </c>
      <c r="AA19" s="133">
        <f>Z19+'2-ф2'!AA13-'1-Ф3'!AA15-кр!Z23</f>
        <v>4.263256414560601E-14</v>
      </c>
      <c r="AB19" s="133">
        <f>AA19+'2-ф2'!AB13-'1-Ф3'!AB15-кр!AA23</f>
        <v>4.263256414560601E-14</v>
      </c>
      <c r="AC19" s="133">
        <f>AB19</f>
        <v>4.263256414560601E-14</v>
      </c>
      <c r="AD19" s="133">
        <f>AC19+'2-ф2'!AD13-'1-Ф3'!AD15-кр!AC23</f>
        <v>4.263256414560601E-14</v>
      </c>
      <c r="AE19" s="133">
        <f>AD19+'2-ф2'!AE13-'1-Ф3'!AE15-кр!AD23</f>
        <v>4.263256414560601E-14</v>
      </c>
      <c r="AF19" s="133">
        <f>AE19+'2-ф2'!AF13-'1-Ф3'!AF15-кр!AE23</f>
        <v>4.263256414560601E-14</v>
      </c>
      <c r="AG19" s="133">
        <f>AF19+'2-ф2'!AG13-'1-Ф3'!AG15-кр!AF23</f>
        <v>4.263256414560601E-14</v>
      </c>
      <c r="AH19" s="133">
        <f>AG19+'2-ф2'!AH13-'1-Ф3'!AH15-кр!AG23</f>
        <v>4.263256414560601E-14</v>
      </c>
      <c r="AI19" s="133">
        <f>AH19+'2-ф2'!AI13-'1-Ф3'!AI15-кр!AH23</f>
        <v>4.263256414560601E-14</v>
      </c>
      <c r="AJ19" s="133">
        <f>AI19+'2-ф2'!AJ13-'1-Ф3'!AJ15-кр!AI23</f>
        <v>4.263256414560601E-14</v>
      </c>
      <c r="AK19" s="133">
        <f>AJ19+'2-ф2'!AK13-'1-Ф3'!AK15-кр!AJ23</f>
        <v>4.263256414560601E-14</v>
      </c>
      <c r="AL19" s="133">
        <f>AK19+'2-ф2'!AL13-'1-Ф3'!AL15-кр!AK23</f>
        <v>4.263256414560601E-14</v>
      </c>
      <c r="AM19" s="133">
        <f>AL19+'2-ф2'!AM13-'1-Ф3'!AM15-кр!AL23</f>
        <v>4.263256414560601E-14</v>
      </c>
      <c r="AN19" s="133">
        <f>AM19+'2-ф2'!AN13-'1-Ф3'!AN15-кр!AM23</f>
        <v>4.263256414560601E-14</v>
      </c>
      <c r="AO19" s="133">
        <f>AN19+'2-ф2'!AO13-'1-Ф3'!AO15-кр!AN23</f>
        <v>4.263256414560601E-14</v>
      </c>
      <c r="AP19" s="133">
        <f>AO19</f>
        <v>4.263256414560601E-14</v>
      </c>
      <c r="AQ19" s="133">
        <f>AP19+'2-ф2'!AQ13-'1-Ф3'!AQ15</f>
        <v>0</v>
      </c>
      <c r="AR19" s="133">
        <f>AQ19+'2-ф2'!AR13-'1-Ф3'!AR15</f>
        <v>0</v>
      </c>
      <c r="AS19" s="133">
        <f>AR19+'2-ф2'!AS13-'1-Ф3'!AS15</f>
        <v>0</v>
      </c>
      <c r="AT19" s="133">
        <f>AS19+'2-ф2'!AT13-'1-Ф3'!AT15</f>
        <v>0</v>
      </c>
      <c r="AU19" s="133">
        <f>AT19+'2-ф2'!AU13-'1-Ф3'!AU15</f>
        <v>0</v>
      </c>
      <c r="AV19" s="120"/>
    </row>
    <row r="20" spans="1:47" ht="12.75">
      <c r="A20" s="131" t="s">
        <v>128</v>
      </c>
      <c r="B20" s="133"/>
      <c r="C20" s="133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33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33">
        <f>AB20</f>
        <v>0</v>
      </c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33">
        <f>AO20</f>
        <v>0</v>
      </c>
      <c r="AQ20" s="133"/>
      <c r="AR20" s="133"/>
      <c r="AS20" s="133"/>
      <c r="AT20" s="133"/>
      <c r="AU20" s="133"/>
    </row>
    <row r="21" spans="1:47" ht="15" customHeight="1">
      <c r="A21" s="126" t="s">
        <v>129</v>
      </c>
      <c r="B21" s="127"/>
      <c r="C21" s="127">
        <f aca="true" t="shared" si="18" ref="C21:AT21">SUM(C22:C23)</f>
        <v>0</v>
      </c>
      <c r="D21" s="127">
        <f t="shared" si="18"/>
        <v>0</v>
      </c>
      <c r="E21" s="127">
        <f t="shared" si="18"/>
        <v>0</v>
      </c>
      <c r="F21" s="127">
        <f t="shared" si="18"/>
        <v>0</v>
      </c>
      <c r="G21" s="127">
        <f t="shared" si="18"/>
        <v>0</v>
      </c>
      <c r="H21" s="127">
        <f t="shared" si="18"/>
        <v>0</v>
      </c>
      <c r="I21" s="127">
        <f t="shared" si="18"/>
        <v>0</v>
      </c>
      <c r="J21" s="127">
        <f t="shared" si="18"/>
        <v>0</v>
      </c>
      <c r="K21" s="127">
        <f t="shared" si="18"/>
        <v>0</v>
      </c>
      <c r="L21" s="127">
        <f t="shared" si="18"/>
        <v>0</v>
      </c>
      <c r="M21" s="127">
        <f t="shared" si="18"/>
        <v>9914.1424</v>
      </c>
      <c r="N21" s="127">
        <f t="shared" si="18"/>
        <v>10657.284800000001</v>
      </c>
      <c r="O21" s="127">
        <f t="shared" si="18"/>
        <v>10657.284800000001</v>
      </c>
      <c r="P21" s="127">
        <f t="shared" si="18"/>
        <v>10657.284800000001</v>
      </c>
      <c r="Q21" s="127">
        <f t="shared" si="18"/>
        <v>10657.284800000001</v>
      </c>
      <c r="R21" s="127">
        <f t="shared" si="18"/>
        <v>10657.284800000001</v>
      </c>
      <c r="S21" s="127">
        <f t="shared" si="18"/>
        <v>10657.284800000001</v>
      </c>
      <c r="T21" s="127">
        <f t="shared" si="18"/>
        <v>11004.279784000002</v>
      </c>
      <c r="U21" s="127">
        <f t="shared" si="18"/>
        <v>11030.289768000002</v>
      </c>
      <c r="V21" s="127">
        <f t="shared" si="18"/>
        <v>11030.289768000002</v>
      </c>
      <c r="W21" s="127">
        <f t="shared" si="18"/>
        <v>11030.289768000002</v>
      </c>
      <c r="X21" s="127">
        <f t="shared" si="18"/>
        <v>10920.835200083404</v>
      </c>
      <c r="Y21" s="127">
        <f t="shared" si="18"/>
        <v>10802.537672507513</v>
      </c>
      <c r="Z21" s="127">
        <f t="shared" si="18"/>
        <v>10683.550076020765</v>
      </c>
      <c r="AA21" s="127">
        <f t="shared" si="18"/>
        <v>10563.868385221176</v>
      </c>
      <c r="AB21" s="127">
        <f t="shared" si="18"/>
        <v>10443.488551225259</v>
      </c>
      <c r="AC21" s="127">
        <f t="shared" si="18"/>
        <v>10443.488551225259</v>
      </c>
      <c r="AD21" s="127">
        <f aca="true" t="shared" si="19" ref="AD21:AP21">SUM(AD22:AD23)</f>
        <v>10322.40650153103</v>
      </c>
      <c r="AE21" s="127">
        <f t="shared" si="19"/>
        <v>10200.618139880251</v>
      </c>
      <c r="AF21" s="127">
        <f t="shared" si="19"/>
        <v>10078.119346119842</v>
      </c>
      <c r="AG21" s="127">
        <f t="shared" si="19"/>
        <v>9954.905976062499</v>
      </c>
      <c r="AH21" s="127">
        <f t="shared" si="19"/>
        <v>9830.973861346485</v>
      </c>
      <c r="AI21" s="127">
        <f t="shared" si="19"/>
        <v>9706.318809294631</v>
      </c>
      <c r="AJ21" s="127">
        <f t="shared" si="19"/>
        <v>9580.936602772474</v>
      </c>
      <c r="AK21" s="127">
        <f t="shared" si="19"/>
        <v>9454.823000045602</v>
      </c>
      <c r="AL21" s="127">
        <f t="shared" si="19"/>
        <v>9327.97373463616</v>
      </c>
      <c r="AM21" s="127">
        <f t="shared" si="19"/>
        <v>9200.384515178494</v>
      </c>
      <c r="AN21" s="127">
        <f t="shared" si="19"/>
        <v>9072.051025273993</v>
      </c>
      <c r="AO21" s="127">
        <f t="shared" si="19"/>
        <v>8942.968923345048</v>
      </c>
      <c r="AP21" s="127">
        <f t="shared" si="19"/>
        <v>8942.968923345048</v>
      </c>
      <c r="AQ21" s="127">
        <f t="shared" si="18"/>
        <v>7333.976610239009</v>
      </c>
      <c r="AR21" s="127">
        <f t="shared" si="18"/>
        <v>5608.670112721472</v>
      </c>
      <c r="AS21" s="127">
        <f t="shared" si="18"/>
        <v>3758.6410689966037</v>
      </c>
      <c r="AT21" s="127">
        <f t="shared" si="18"/>
        <v>1774.8732761144806</v>
      </c>
      <c r="AU21" s="127">
        <f>SUM(AU22:AU23)</f>
        <v>5.064748620497994E-11</v>
      </c>
    </row>
    <row r="22" spans="1:47" ht="12.75">
      <c r="A22" s="131" t="s">
        <v>127</v>
      </c>
      <c r="B22" s="133"/>
      <c r="C22" s="127"/>
      <c r="D22" s="133">
        <f>кр!C27</f>
        <v>0</v>
      </c>
      <c r="E22" s="133">
        <f>кр!D27</f>
        <v>0</v>
      </c>
      <c r="F22" s="133">
        <f>кр!E27</f>
        <v>0</v>
      </c>
      <c r="G22" s="133">
        <f>кр!F27</f>
        <v>0</v>
      </c>
      <c r="H22" s="133">
        <f>кр!G27</f>
        <v>0</v>
      </c>
      <c r="I22" s="133">
        <f>кр!H27</f>
        <v>0</v>
      </c>
      <c r="J22" s="133">
        <f>кр!I27</f>
        <v>0</v>
      </c>
      <c r="K22" s="133">
        <f>кр!J27</f>
        <v>0</v>
      </c>
      <c r="L22" s="133">
        <f>кр!K27</f>
        <v>0</v>
      </c>
      <c r="M22" s="133">
        <f>кр!L27</f>
        <v>9914.1424</v>
      </c>
      <c r="N22" s="133">
        <f>кр!M27</f>
        <v>10657.284800000001</v>
      </c>
      <c r="O22" s="133">
        <f>кр!N27</f>
        <v>10657.284800000001</v>
      </c>
      <c r="P22" s="133">
        <f>кр!O27</f>
        <v>10657.284800000001</v>
      </c>
      <c r="Q22" s="133">
        <f>кр!P27</f>
        <v>10657.284800000001</v>
      </c>
      <c r="R22" s="133">
        <f>кр!Q27</f>
        <v>10657.284800000001</v>
      </c>
      <c r="S22" s="133">
        <f>кр!R27</f>
        <v>10657.284800000001</v>
      </c>
      <c r="T22" s="133">
        <f>кр!S27</f>
        <v>11004.279784000002</v>
      </c>
      <c r="U22" s="133">
        <f>кр!T27</f>
        <v>11030.289768000002</v>
      </c>
      <c r="V22" s="133">
        <f>кр!U27</f>
        <v>11030.289768000002</v>
      </c>
      <c r="W22" s="133">
        <f>кр!V27</f>
        <v>11030.289768000002</v>
      </c>
      <c r="X22" s="133">
        <f>кр!W27</f>
        <v>10920.835200083404</v>
      </c>
      <c r="Y22" s="133">
        <f>кр!X27</f>
        <v>10802.537672507513</v>
      </c>
      <c r="Z22" s="133">
        <f>кр!Y27</f>
        <v>10683.550076020765</v>
      </c>
      <c r="AA22" s="133">
        <f>кр!Z27</f>
        <v>10563.868385221176</v>
      </c>
      <c r="AB22" s="133">
        <f>кр!AA27</f>
        <v>10443.488551225259</v>
      </c>
      <c r="AC22" s="133">
        <f>кр!AB27</f>
        <v>10443.488551225259</v>
      </c>
      <c r="AD22" s="133">
        <f>кр!AC27</f>
        <v>10322.40650153103</v>
      </c>
      <c r="AE22" s="133">
        <f>кр!AD27</f>
        <v>10200.618139880251</v>
      </c>
      <c r="AF22" s="133">
        <f>кр!AE27</f>
        <v>10078.119346119842</v>
      </c>
      <c r="AG22" s="133">
        <f>кр!AF27</f>
        <v>9954.905976062499</v>
      </c>
      <c r="AH22" s="133">
        <f>кр!AG27</f>
        <v>9830.973861346485</v>
      </c>
      <c r="AI22" s="133">
        <f>кр!AH27</f>
        <v>9706.318809294631</v>
      </c>
      <c r="AJ22" s="133">
        <f>кр!AI27</f>
        <v>9580.936602772474</v>
      </c>
      <c r="AK22" s="133">
        <f>кр!AJ27</f>
        <v>9454.823000045602</v>
      </c>
      <c r="AL22" s="133">
        <f>кр!AK27</f>
        <v>9327.97373463616</v>
      </c>
      <c r="AM22" s="133">
        <f>кр!AL27</f>
        <v>9200.384515178494</v>
      </c>
      <c r="AN22" s="133">
        <f>кр!AM27</f>
        <v>9072.051025273993</v>
      </c>
      <c r="AO22" s="133">
        <f>кр!AN27</f>
        <v>8942.968923345048</v>
      </c>
      <c r="AP22" s="133">
        <f>кр!AO27</f>
        <v>8942.968923345048</v>
      </c>
      <c r="AQ22" s="133">
        <f>кр!BB27</f>
        <v>7333.976610239009</v>
      </c>
      <c r="AR22" s="133">
        <f>кр!BO27</f>
        <v>5608.670112721472</v>
      </c>
      <c r="AS22" s="133">
        <f>кр!CB27</f>
        <v>3758.6410689966037</v>
      </c>
      <c r="AT22" s="133">
        <f>кр!CO27</f>
        <v>1774.8732761144806</v>
      </c>
      <c r="AU22" s="133">
        <f>кр!DB27</f>
        <v>5.064748620497994E-11</v>
      </c>
    </row>
    <row r="23" spans="1:47" ht="15" customHeight="1" hidden="1">
      <c r="A23" s="131" t="s">
        <v>130</v>
      </c>
      <c r="B23" s="133"/>
      <c r="C23" s="133"/>
      <c r="D23" s="133">
        <f>C23</f>
        <v>0</v>
      </c>
      <c r="E23" s="133">
        <f>D23</f>
        <v>0</v>
      </c>
      <c r="F23" s="133">
        <f aca="true" t="shared" si="20" ref="F23:AU23">E23</f>
        <v>0</v>
      </c>
      <c r="G23" s="133">
        <f t="shared" si="20"/>
        <v>0</v>
      </c>
      <c r="H23" s="133">
        <f t="shared" si="20"/>
        <v>0</v>
      </c>
      <c r="I23" s="133">
        <f t="shared" si="20"/>
        <v>0</v>
      </c>
      <c r="J23" s="133">
        <f t="shared" si="20"/>
        <v>0</v>
      </c>
      <c r="K23" s="133">
        <f t="shared" si="20"/>
        <v>0</v>
      </c>
      <c r="L23" s="133">
        <f t="shared" si="20"/>
        <v>0</v>
      </c>
      <c r="M23" s="133">
        <f t="shared" si="20"/>
        <v>0</v>
      </c>
      <c r="N23" s="133">
        <f t="shared" si="20"/>
        <v>0</v>
      </c>
      <c r="O23" s="133">
        <f t="shared" si="20"/>
        <v>0</v>
      </c>
      <c r="P23" s="133">
        <f t="shared" si="20"/>
        <v>0</v>
      </c>
      <c r="Q23" s="133">
        <f t="shared" si="20"/>
        <v>0</v>
      </c>
      <c r="R23" s="133">
        <f t="shared" si="20"/>
        <v>0</v>
      </c>
      <c r="S23" s="133">
        <f t="shared" si="20"/>
        <v>0</v>
      </c>
      <c r="T23" s="133">
        <f t="shared" si="20"/>
        <v>0</v>
      </c>
      <c r="U23" s="133">
        <f t="shared" si="20"/>
        <v>0</v>
      </c>
      <c r="V23" s="133">
        <f t="shared" si="20"/>
        <v>0</v>
      </c>
      <c r="W23" s="133">
        <f t="shared" si="20"/>
        <v>0</v>
      </c>
      <c r="X23" s="133">
        <f t="shared" si="20"/>
        <v>0</v>
      </c>
      <c r="Y23" s="133">
        <f t="shared" si="20"/>
        <v>0</v>
      </c>
      <c r="Z23" s="133">
        <f t="shared" si="20"/>
        <v>0</v>
      </c>
      <c r="AA23" s="133">
        <f t="shared" si="20"/>
        <v>0</v>
      </c>
      <c r="AB23" s="133">
        <f t="shared" si="20"/>
        <v>0</v>
      </c>
      <c r="AC23" s="127">
        <f aca="true" t="shared" si="21" ref="AC23:AP23">AB23</f>
        <v>0</v>
      </c>
      <c r="AD23" s="133">
        <f t="shared" si="21"/>
        <v>0</v>
      </c>
      <c r="AE23" s="133">
        <f t="shared" si="21"/>
        <v>0</v>
      </c>
      <c r="AF23" s="133">
        <f t="shared" si="21"/>
        <v>0</v>
      </c>
      <c r="AG23" s="133">
        <f t="shared" si="21"/>
        <v>0</v>
      </c>
      <c r="AH23" s="133">
        <f t="shared" si="21"/>
        <v>0</v>
      </c>
      <c r="AI23" s="133">
        <f t="shared" si="21"/>
        <v>0</v>
      </c>
      <c r="AJ23" s="133">
        <f t="shared" si="21"/>
        <v>0</v>
      </c>
      <c r="AK23" s="133">
        <f t="shared" si="21"/>
        <v>0</v>
      </c>
      <c r="AL23" s="133">
        <f t="shared" si="21"/>
        <v>0</v>
      </c>
      <c r="AM23" s="133">
        <f t="shared" si="21"/>
        <v>0</v>
      </c>
      <c r="AN23" s="133">
        <f t="shared" si="21"/>
        <v>0</v>
      </c>
      <c r="AO23" s="133">
        <f t="shared" si="21"/>
        <v>0</v>
      </c>
      <c r="AP23" s="127">
        <f t="shared" si="21"/>
        <v>0</v>
      </c>
      <c r="AQ23" s="133">
        <f t="shared" si="20"/>
        <v>0</v>
      </c>
      <c r="AR23" s="133">
        <f t="shared" si="20"/>
        <v>0</v>
      </c>
      <c r="AS23" s="133">
        <f t="shared" si="20"/>
        <v>0</v>
      </c>
      <c r="AT23" s="133">
        <f t="shared" si="20"/>
        <v>0</v>
      </c>
      <c r="AU23" s="133">
        <f t="shared" si="20"/>
        <v>0</v>
      </c>
    </row>
    <row r="24" spans="1:47" s="130" customFormat="1" ht="15" customHeight="1">
      <c r="A24" s="126" t="s">
        <v>131</v>
      </c>
      <c r="B24" s="127"/>
      <c r="C24" s="127">
        <f aca="true" t="shared" si="22" ref="C24:AT24">SUM(C25:C26)</f>
        <v>0</v>
      </c>
      <c r="D24" s="127">
        <f t="shared" si="22"/>
        <v>0</v>
      </c>
      <c r="E24" s="127">
        <f t="shared" si="22"/>
        <v>0</v>
      </c>
      <c r="F24" s="127">
        <f t="shared" si="22"/>
        <v>0</v>
      </c>
      <c r="G24" s="127">
        <f t="shared" si="22"/>
        <v>0</v>
      </c>
      <c r="H24" s="127">
        <f t="shared" si="22"/>
        <v>0</v>
      </c>
      <c r="I24" s="127">
        <f t="shared" si="22"/>
        <v>0</v>
      </c>
      <c r="J24" s="127">
        <f t="shared" si="22"/>
        <v>0</v>
      </c>
      <c r="K24" s="127">
        <f t="shared" si="22"/>
        <v>0</v>
      </c>
      <c r="L24" s="127">
        <f t="shared" si="22"/>
        <v>0</v>
      </c>
      <c r="M24" s="127">
        <f t="shared" si="22"/>
        <v>0</v>
      </c>
      <c r="N24" s="127">
        <f t="shared" si="22"/>
        <v>-57.83249733333334</v>
      </c>
      <c r="O24" s="127">
        <f t="shared" si="22"/>
        <v>2265.8524239999997</v>
      </c>
      <c r="P24" s="127">
        <f t="shared" si="22"/>
        <v>2265.8524239999997</v>
      </c>
      <c r="Q24" s="127">
        <f t="shared" si="22"/>
        <v>1973.885617488095</v>
      </c>
      <c r="R24" s="127">
        <f t="shared" si="22"/>
        <v>1983.123048690476</v>
      </c>
      <c r="S24" s="127">
        <f t="shared" si="22"/>
        <v>2142.9625987499994</v>
      </c>
      <c r="T24" s="127">
        <f t="shared" si="22"/>
        <v>2302.802148809523</v>
      </c>
      <c r="U24" s="127">
        <f t="shared" si="22"/>
        <v>2686.6279225413327</v>
      </c>
      <c r="V24" s="127">
        <f t="shared" si="22"/>
        <v>2842.879296509714</v>
      </c>
      <c r="W24" s="127">
        <f t="shared" si="22"/>
        <v>2872.6248906380947</v>
      </c>
      <c r="X24" s="127">
        <f t="shared" si="22"/>
        <v>2902.3704847664753</v>
      </c>
      <c r="Y24" s="127">
        <f t="shared" si="22"/>
        <v>3269.9756131184677</v>
      </c>
      <c r="Z24" s="127">
        <f t="shared" si="22"/>
        <v>3397.169406427718</v>
      </c>
      <c r="AA24" s="127">
        <f t="shared" si="22"/>
        <v>3283.955085015811</v>
      </c>
      <c r="AB24" s="127">
        <f t="shared" si="22"/>
        <v>2809.854192903827</v>
      </c>
      <c r="AC24" s="127">
        <f t="shared" si="22"/>
        <v>2809.854192903827</v>
      </c>
      <c r="AD24" s="127">
        <f aca="true" t="shared" si="23" ref="AD24:AP24">SUM(AD25:AD26)</f>
        <v>2632.1695602647756</v>
      </c>
      <c r="AE24" s="127">
        <f t="shared" si="23"/>
        <v>2732.770494676678</v>
      </c>
      <c r="AF24" s="127">
        <f t="shared" si="23"/>
        <v>2972.8000335191414</v>
      </c>
      <c r="AG24" s="127">
        <f t="shared" si="23"/>
        <v>3213.401233399153</v>
      </c>
      <c r="AH24" s="127">
        <f t="shared" si="23"/>
        <v>3732.2979464918135</v>
      </c>
      <c r="AI24" s="127">
        <f t="shared" si="23"/>
        <v>4390.633268196006</v>
      </c>
      <c r="AJ24" s="127">
        <f t="shared" si="23"/>
        <v>5188.410572219297</v>
      </c>
      <c r="AK24" s="127">
        <f t="shared" si="23"/>
        <v>5903.456837960644</v>
      </c>
      <c r="AL24" s="127">
        <f t="shared" si="23"/>
        <v>6216.396883493764</v>
      </c>
      <c r="AM24" s="127">
        <f t="shared" si="23"/>
        <v>6460.4987628940335</v>
      </c>
      <c r="AN24" s="127">
        <f t="shared" si="23"/>
        <v>6427.475541166057</v>
      </c>
      <c r="AO24" s="127">
        <f t="shared" si="23"/>
        <v>5978.4704328290645</v>
      </c>
      <c r="AP24" s="127">
        <f t="shared" si="23"/>
        <v>5978.4704328290645</v>
      </c>
      <c r="AQ24" s="127">
        <f t="shared" si="22"/>
        <v>10695.14047999782</v>
      </c>
      <c r="AR24" s="127">
        <f t="shared" si="22"/>
        <v>15841.972633898067</v>
      </c>
      <c r="AS24" s="127">
        <f t="shared" si="22"/>
        <v>20591.994322212297</v>
      </c>
      <c r="AT24" s="127">
        <f t="shared" si="22"/>
        <v>24927.26154645856</v>
      </c>
      <c r="AU24" s="127">
        <f>SUM(AU25:AU26)</f>
        <v>28828.303766799312</v>
      </c>
    </row>
    <row r="25" spans="1:47" ht="15" customHeight="1">
      <c r="A25" s="131" t="s">
        <v>132</v>
      </c>
      <c r="B25" s="127"/>
      <c r="C25" s="133"/>
      <c r="D25" s="133">
        <f>C25+'1-Ф3'!D28</f>
        <v>0</v>
      </c>
      <c r="E25" s="133">
        <f>D25+'1-Ф3'!E28</f>
        <v>0</v>
      </c>
      <c r="F25" s="133">
        <f>E25+'1-Ф3'!F28</f>
        <v>0</v>
      </c>
      <c r="G25" s="133">
        <f>F25+'1-Ф3'!G28</f>
        <v>0</v>
      </c>
      <c r="H25" s="133">
        <f>G25+'1-Ф3'!H28</f>
        <v>0</v>
      </c>
      <c r="I25" s="133">
        <f>H25+'1-Ф3'!I28</f>
        <v>0</v>
      </c>
      <c r="J25" s="133">
        <f>I25+'1-Ф3'!J28</f>
        <v>0</v>
      </c>
      <c r="K25" s="133">
        <f>J25+'1-Ф3'!K28</f>
        <v>0</v>
      </c>
      <c r="L25" s="133">
        <f>K25+'1-Ф3'!L28</f>
        <v>0</v>
      </c>
      <c r="M25" s="133">
        <f>L25+'1-Ф3'!M28</f>
        <v>0</v>
      </c>
      <c r="N25" s="133">
        <f>M25+'1-Ф3'!N28</f>
        <v>0</v>
      </c>
      <c r="O25" s="133">
        <f>N25+'1-Ф3'!O28</f>
        <v>2385.8524159999997</v>
      </c>
      <c r="P25" s="133">
        <f>O25</f>
        <v>2385.8524159999997</v>
      </c>
      <c r="Q25" s="133">
        <f>P25+'1-Ф3'!Q28</f>
        <v>2385.8524159999997</v>
      </c>
      <c r="R25" s="133">
        <f>Q25+'1-Ф3'!R28</f>
        <v>2385.8524159999997</v>
      </c>
      <c r="S25" s="133">
        <f>R25+'1-Ф3'!S28</f>
        <v>2385.8524159999997</v>
      </c>
      <c r="T25" s="133">
        <f>S25+'1-Ф3'!T28</f>
        <v>2385.8524159999997</v>
      </c>
      <c r="U25" s="133">
        <f>T25+'1-Ф3'!U28</f>
        <v>2385.8524159999997</v>
      </c>
      <c r="V25" s="133">
        <f>U25+'1-Ф3'!V28</f>
        <v>2385.8524159999997</v>
      </c>
      <c r="W25" s="133">
        <f>V25+'1-Ф3'!W28</f>
        <v>2385.8524159999997</v>
      </c>
      <c r="X25" s="133">
        <f>W25+'1-Ф3'!X28</f>
        <v>2385.8524159999997</v>
      </c>
      <c r="Y25" s="133">
        <f>X25+'1-Ф3'!Y28</f>
        <v>2385.8524159999997</v>
      </c>
      <c r="Z25" s="133">
        <f>Y25+'1-Ф3'!Z28</f>
        <v>2385.8524159999997</v>
      </c>
      <c r="AA25" s="133">
        <f>Z25+'1-Ф3'!AA28</f>
        <v>2385.8524159999997</v>
      </c>
      <c r="AB25" s="133">
        <f>AA25+'1-Ф3'!AB28</f>
        <v>2385.8524159999997</v>
      </c>
      <c r="AC25" s="133">
        <f>AB25</f>
        <v>2385.8524159999997</v>
      </c>
      <c r="AD25" s="133">
        <f>AC25+'1-Ф3'!AD28</f>
        <v>2385.8524159999997</v>
      </c>
      <c r="AE25" s="133">
        <f>AD25+'1-Ф3'!AE28</f>
        <v>2385.8524159999997</v>
      </c>
      <c r="AF25" s="133">
        <f>AE25+'1-Ф3'!AF28</f>
        <v>2385.8524159999997</v>
      </c>
      <c r="AG25" s="133">
        <f>AF25+'1-Ф3'!AG28</f>
        <v>2385.8524159999997</v>
      </c>
      <c r="AH25" s="133">
        <f>AG25+'1-Ф3'!AH28</f>
        <v>2385.8524159999997</v>
      </c>
      <c r="AI25" s="133">
        <f>AH25+'1-Ф3'!AI28</f>
        <v>2385.8524159999997</v>
      </c>
      <c r="AJ25" s="133">
        <f>AI25+'1-Ф3'!AJ28</f>
        <v>2385.8524159999997</v>
      </c>
      <c r="AK25" s="133">
        <f>AJ25+'1-Ф3'!AK28</f>
        <v>2385.8524159999997</v>
      </c>
      <c r="AL25" s="133">
        <f>AK25+'1-Ф3'!AL28</f>
        <v>2385.8524159999997</v>
      </c>
      <c r="AM25" s="133">
        <f>AL25+'1-Ф3'!AM28</f>
        <v>2385.8524159999997</v>
      </c>
      <c r="AN25" s="133">
        <f>AM25+'1-Ф3'!AN28</f>
        <v>2385.8524159999997</v>
      </c>
      <c r="AO25" s="133">
        <f>AN25+'1-Ф3'!AO28</f>
        <v>2385.8524159999997</v>
      </c>
      <c r="AP25" s="133">
        <f>AO25</f>
        <v>2385.8524159999997</v>
      </c>
      <c r="AQ25" s="133">
        <f>AP25+'1-Ф3'!AQ28</f>
        <v>2385.8524159999997</v>
      </c>
      <c r="AR25" s="133">
        <f>AQ25+'1-Ф3'!AR28</f>
        <v>2385.8524159999997</v>
      </c>
      <c r="AS25" s="133">
        <f>AR25+'1-Ф3'!AS28</f>
        <v>2385.8524159999997</v>
      </c>
      <c r="AT25" s="133">
        <f>AS25+'1-Ф3'!AT28</f>
        <v>2385.8524159999997</v>
      </c>
      <c r="AU25" s="133">
        <f>AT25+'1-Ф3'!AU28</f>
        <v>2385.8524159999997</v>
      </c>
    </row>
    <row r="26" spans="1:47" ht="15" customHeight="1">
      <c r="A26" s="131" t="s">
        <v>133</v>
      </c>
      <c r="B26" s="127"/>
      <c r="C26" s="133"/>
      <c r="D26" s="133">
        <f>'2-ф2'!D17</f>
        <v>0</v>
      </c>
      <c r="E26" s="133">
        <f>'2-ф2'!E17</f>
        <v>0</v>
      </c>
      <c r="F26" s="133">
        <f>'2-ф2'!F17</f>
        <v>0</v>
      </c>
      <c r="G26" s="133">
        <f>'2-ф2'!G17</f>
        <v>0</v>
      </c>
      <c r="H26" s="133">
        <f>'2-ф2'!H17</f>
        <v>0</v>
      </c>
      <c r="I26" s="133">
        <f>'2-ф2'!I17</f>
        <v>0</v>
      </c>
      <c r="J26" s="133">
        <f>'2-ф2'!J17</f>
        <v>0</v>
      </c>
      <c r="K26" s="133">
        <f>'2-ф2'!K17</f>
        <v>0</v>
      </c>
      <c r="L26" s="133">
        <f>'2-ф2'!L17</f>
        <v>0</v>
      </c>
      <c r="M26" s="133">
        <f>'2-ф2'!M17</f>
        <v>0</v>
      </c>
      <c r="N26" s="133">
        <f>'2-ф2'!N17</f>
        <v>-57.83249733333334</v>
      </c>
      <c r="O26" s="133">
        <f>'2-ф2'!O17</f>
        <v>-119.99999200000002</v>
      </c>
      <c r="P26" s="133">
        <f>'2-ф2'!P17</f>
        <v>-119.99999200000002</v>
      </c>
      <c r="Q26" s="133">
        <f>'2-ф2'!Q17</f>
        <v>-411.96679851190464</v>
      </c>
      <c r="R26" s="133">
        <f>'2-ф2'!R17</f>
        <v>-402.7293673095236</v>
      </c>
      <c r="S26" s="133">
        <f>'2-ф2'!S17</f>
        <v>-242.88981725000014</v>
      </c>
      <c r="T26" s="133">
        <f>'2-ф2'!T17</f>
        <v>-83.05026719047669</v>
      </c>
      <c r="U26" s="133">
        <f>'2-ф2'!U17</f>
        <v>300.77550654133313</v>
      </c>
      <c r="V26" s="133">
        <f>'2-ф2'!V17</f>
        <v>457.0268805097142</v>
      </c>
      <c r="W26" s="133">
        <f>'2-ф2'!W17</f>
        <v>486.772474638095</v>
      </c>
      <c r="X26" s="133">
        <f>'2-ф2'!X17</f>
        <v>516.5180687664757</v>
      </c>
      <c r="Y26" s="133">
        <f>'2-ф2'!Y17</f>
        <v>884.1231971184677</v>
      </c>
      <c r="Z26" s="133">
        <f>'2-ф2'!Z17</f>
        <v>1011.3169904277181</v>
      </c>
      <c r="AA26" s="133">
        <f>'2-ф2'!AA17</f>
        <v>898.1026690158117</v>
      </c>
      <c r="AB26" s="133">
        <f>'2-ф2'!AB17</f>
        <v>424.00177690382714</v>
      </c>
      <c r="AC26" s="133">
        <f>'2-ф2'!AC17</f>
        <v>424.00177690382714</v>
      </c>
      <c r="AD26" s="133">
        <f>'2-ф2'!AD17</f>
        <v>246.3171442647758</v>
      </c>
      <c r="AE26" s="133">
        <f>'2-ф2'!AE17</f>
        <v>346.9180786766784</v>
      </c>
      <c r="AF26" s="133">
        <f>'2-ф2'!AF17</f>
        <v>586.9476175191417</v>
      </c>
      <c r="AG26" s="133">
        <f>'2-ф2'!AG17</f>
        <v>827.5488173991534</v>
      </c>
      <c r="AH26" s="133">
        <f>'2-ф2'!AH17</f>
        <v>1346.445530491814</v>
      </c>
      <c r="AI26" s="133">
        <f>'2-ф2'!AI17</f>
        <v>2004.780852196006</v>
      </c>
      <c r="AJ26" s="133">
        <f>'2-ф2'!AJ17</f>
        <v>2802.5581562192974</v>
      </c>
      <c r="AK26" s="133">
        <f>'2-ф2'!AK17</f>
        <v>3517.6044219606442</v>
      </c>
      <c r="AL26" s="133">
        <f>'2-ф2'!AL17</f>
        <v>3830.544467493765</v>
      </c>
      <c r="AM26" s="133">
        <f>'2-ф2'!AM17</f>
        <v>4074.6463468940337</v>
      </c>
      <c r="AN26" s="133">
        <f>'2-ф2'!AN17</f>
        <v>4041.623125166058</v>
      </c>
      <c r="AO26" s="133">
        <f>'2-ф2'!AO17</f>
        <v>3592.618016829065</v>
      </c>
      <c r="AP26" s="133">
        <f>'2-ф2'!AP17</f>
        <v>3592.618016829065</v>
      </c>
      <c r="AQ26" s="133">
        <f>'2-ф2'!AQ17</f>
        <v>8309.288063997821</v>
      </c>
      <c r="AR26" s="133">
        <f>'2-ф2'!AR17</f>
        <v>13456.120217898067</v>
      </c>
      <c r="AS26" s="133">
        <f>'2-ф2'!AS17</f>
        <v>18206.141906212295</v>
      </c>
      <c r="AT26" s="133">
        <f>'2-ф2'!AT17</f>
        <v>22541.40913045856</v>
      </c>
      <c r="AU26" s="133">
        <f>'2-ф2'!AU17</f>
        <v>26442.45135079931</v>
      </c>
    </row>
    <row r="28" spans="1:47" ht="12.75">
      <c r="A28" s="136" t="s">
        <v>134</v>
      </c>
      <c r="B28" s="137"/>
      <c r="C28" s="138">
        <f aca="true" t="shared" si="24" ref="C28:AT28">C5-C16</f>
        <v>0</v>
      </c>
      <c r="D28" s="257">
        <f t="shared" si="24"/>
        <v>0</v>
      </c>
      <c r="E28" s="257">
        <f t="shared" si="24"/>
        <v>0</v>
      </c>
      <c r="F28" s="257">
        <f t="shared" si="24"/>
        <v>0</v>
      </c>
      <c r="G28" s="257">
        <f t="shared" si="24"/>
        <v>0</v>
      </c>
      <c r="H28" s="257">
        <f t="shared" si="24"/>
        <v>0</v>
      </c>
      <c r="I28" s="257">
        <f t="shared" si="24"/>
        <v>0</v>
      </c>
      <c r="J28" s="257">
        <f t="shared" si="24"/>
        <v>0</v>
      </c>
      <c r="K28" s="257">
        <f t="shared" si="24"/>
        <v>0</v>
      </c>
      <c r="L28" s="257">
        <f aca="true" t="shared" si="25" ref="L28:Q28">L5-L16</f>
        <v>0</v>
      </c>
      <c r="M28" s="257">
        <f t="shared" si="25"/>
        <v>0</v>
      </c>
      <c r="N28" s="257">
        <f t="shared" si="25"/>
        <v>0</v>
      </c>
      <c r="O28" s="257">
        <f t="shared" si="25"/>
        <v>0</v>
      </c>
      <c r="P28" s="257">
        <f t="shared" si="25"/>
        <v>0</v>
      </c>
      <c r="Q28" s="257">
        <f t="shared" si="25"/>
        <v>0</v>
      </c>
      <c r="R28" s="257">
        <f t="shared" si="24"/>
        <v>0</v>
      </c>
      <c r="S28" s="257">
        <f t="shared" si="24"/>
        <v>0</v>
      </c>
      <c r="T28" s="257">
        <f t="shared" si="24"/>
        <v>0</v>
      </c>
      <c r="U28" s="257">
        <f t="shared" si="24"/>
        <v>0</v>
      </c>
      <c r="V28" s="257">
        <f t="shared" si="24"/>
        <v>0</v>
      </c>
      <c r="W28" s="257">
        <f t="shared" si="24"/>
        <v>0</v>
      </c>
      <c r="X28" s="257">
        <f t="shared" si="24"/>
        <v>0</v>
      </c>
      <c r="Y28" s="257">
        <f t="shared" si="24"/>
        <v>0</v>
      </c>
      <c r="Z28" s="257">
        <f t="shared" si="24"/>
        <v>0</v>
      </c>
      <c r="AA28" s="257">
        <f t="shared" si="24"/>
        <v>0</v>
      </c>
      <c r="AB28" s="257">
        <f t="shared" si="24"/>
        <v>0</v>
      </c>
      <c r="AC28" s="257">
        <f t="shared" si="24"/>
        <v>0</v>
      </c>
      <c r="AD28" s="257">
        <f t="shared" si="24"/>
        <v>0</v>
      </c>
      <c r="AE28" s="257">
        <f t="shared" si="24"/>
        <v>0</v>
      </c>
      <c r="AF28" s="257">
        <f aca="true" t="shared" si="26" ref="AF28:AP28">AF5-AF16</f>
        <v>0</v>
      </c>
      <c r="AG28" s="257">
        <f t="shared" si="26"/>
        <v>0</v>
      </c>
      <c r="AH28" s="257">
        <f t="shared" si="26"/>
        <v>0</v>
      </c>
      <c r="AI28" s="257">
        <f t="shared" si="26"/>
        <v>0</v>
      </c>
      <c r="AJ28" s="257">
        <f t="shared" si="26"/>
        <v>0</v>
      </c>
      <c r="AK28" s="257">
        <f t="shared" si="26"/>
        <v>0</v>
      </c>
      <c r="AL28" s="257">
        <f t="shared" si="26"/>
        <v>0</v>
      </c>
      <c r="AM28" s="257">
        <f t="shared" si="26"/>
        <v>0</v>
      </c>
      <c r="AN28" s="257">
        <f t="shared" si="26"/>
        <v>0</v>
      </c>
      <c r="AO28" s="257">
        <f t="shared" si="26"/>
        <v>0</v>
      </c>
      <c r="AP28" s="257">
        <f t="shared" si="26"/>
        <v>0</v>
      </c>
      <c r="AQ28" s="257">
        <f t="shared" si="24"/>
        <v>0</v>
      </c>
      <c r="AR28" s="257">
        <f t="shared" si="24"/>
        <v>0</v>
      </c>
      <c r="AS28" s="257">
        <f t="shared" si="24"/>
        <v>0</v>
      </c>
      <c r="AT28" s="257">
        <f t="shared" si="24"/>
        <v>0</v>
      </c>
      <c r="AU28" s="257">
        <f>AU5-AU16</f>
        <v>0</v>
      </c>
    </row>
    <row r="29" spans="11:47" ht="12.75" hidden="1"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</row>
    <row r="30" spans="1:47" ht="12.75" hidden="1">
      <c r="A30" s="119" t="s">
        <v>133</v>
      </c>
      <c r="K30" s="296"/>
      <c r="L30" s="296" t="e">
        <f>'[45]ф2'!L32</f>
        <v>#REF!</v>
      </c>
      <c r="M30" s="296" t="e">
        <f>'[45]ф2'!M32</f>
        <v>#REF!</v>
      </c>
      <c r="N30" s="296" t="e">
        <f>'[45]ф2'!N32</f>
        <v>#REF!</v>
      </c>
      <c r="O30" s="296" t="e">
        <f>'[45]ф2'!O32</f>
        <v>#REF!</v>
      </c>
      <c r="P30" s="296" t="e">
        <f>'[45]ф2'!P32</f>
        <v>#REF!</v>
      </c>
      <c r="Q30" s="296">
        <f>'[45]ф2'!Q32</f>
        <v>109.48954266069855</v>
      </c>
      <c r="R30" s="296">
        <f>'[45]ф2'!R32</f>
        <v>109.48954266069855</v>
      </c>
      <c r="S30" s="296">
        <f>'[45]ф2'!S32</f>
        <v>108.45296951069854</v>
      </c>
      <c r="T30" s="296">
        <f>'[45]ф2'!T32</f>
        <v>106.37982321069852</v>
      </c>
      <c r="U30" s="296">
        <f>'[45]ф2'!U32</f>
        <v>103.27010376069849</v>
      </c>
      <c r="V30" s="296">
        <f>'[45]ф2'!V32</f>
        <v>103.27010376069849</v>
      </c>
      <c r="W30" s="296">
        <f>'[45]ф2'!W32</f>
        <v>103.27010376069849</v>
      </c>
      <c r="X30" s="296">
        <f>'[45]ф2'!X32</f>
        <v>99.20125340855881</v>
      </c>
      <c r="Y30" s="296">
        <f>'[45]ф2'!Y32</f>
        <v>99.20125340855881</v>
      </c>
      <c r="Z30" s="296">
        <f>'[45]ф2'!Z32</f>
        <v>99.20125340855881</v>
      </c>
      <c r="AA30" s="296">
        <f>'[45]ф2'!AA32</f>
        <v>99.20125340855881</v>
      </c>
      <c r="AB30" s="296">
        <f>'[45]ф2'!AB32</f>
        <v>82.61608300855879</v>
      </c>
      <c r="AC30" s="296">
        <f>AC26-P26</f>
        <v>544.0017689038272</v>
      </c>
      <c r="AD30" s="296" t="e">
        <f>'[45]ф2'!AD32</f>
        <v>#REF!</v>
      </c>
      <c r="AE30" s="296" t="e">
        <f>'[45]ф2'!AE32</f>
        <v>#REF!</v>
      </c>
      <c r="AF30" s="296" t="e">
        <f>'[45]ф2'!AF32</f>
        <v>#REF!</v>
      </c>
      <c r="AG30" s="296" t="e">
        <f>'[45]ф2'!AG32</f>
        <v>#REF!</v>
      </c>
      <c r="AH30" s="296" t="e">
        <f>'[45]ф2'!AH32</f>
        <v>#REF!</v>
      </c>
      <c r="AI30" s="296" t="e">
        <f>'[45]ф2'!AI32</f>
        <v>#REF!</v>
      </c>
      <c r="AJ30" s="296" t="e">
        <f>'[45]ф2'!AJ32</f>
        <v>#REF!</v>
      </c>
      <c r="AK30" s="296" t="e">
        <f>'[45]ф2'!AK32</f>
        <v>#REF!</v>
      </c>
      <c r="AL30" s="296" t="e">
        <f>'[45]ф2'!AL32</f>
        <v>#REF!</v>
      </c>
      <c r="AM30" s="296" t="e">
        <f>'[45]ф2'!AM32</f>
        <v>#REF!</v>
      </c>
      <c r="AN30" s="296" t="e">
        <f>'[45]ф2'!AN32</f>
        <v>#REF!</v>
      </c>
      <c r="AO30" s="296" t="e">
        <f>'[45]ф2'!AO32</f>
        <v>#REF!</v>
      </c>
      <c r="AP30" s="296">
        <f>AP26-AC26</f>
        <v>3168.6162399252376</v>
      </c>
      <c r="AQ30" s="296">
        <f>AQ26-AP26</f>
        <v>4716.670047168756</v>
      </c>
      <c r="AR30" s="296">
        <f>AR26-AQ26</f>
        <v>5146.832153900246</v>
      </c>
      <c r="AS30" s="296">
        <f>AS26-AR26</f>
        <v>4750.0216883142275</v>
      </c>
      <c r="AT30" s="296">
        <f>AT26-AS26</f>
        <v>4335.267224246265</v>
      </c>
      <c r="AU30" s="296">
        <f>AU26-AT26</f>
        <v>3901.0422203407506</v>
      </c>
    </row>
    <row r="31" spans="1:47" ht="12.75" hidden="1">
      <c r="A31" s="119" t="s">
        <v>135</v>
      </c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>
        <f>(AC8+AC10+AC13+AC14)-(P8+P10+P13+P14)</f>
        <v>-859.6428955714283</v>
      </c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>
        <f>(AP8+AP10+AP13+AP14)-(AC8+AC10+AC13+AC14)</f>
        <v>-431.7646632857144</v>
      </c>
      <c r="AQ31" s="296">
        <f>(AQ8+AQ10+AQ13+AQ14)-(AP8+AP10+AP13+AP14)</f>
        <v>0</v>
      </c>
      <c r="AR31" s="296">
        <f>(AR8+AR10+AR13+AR14)-(AQ8+AQ10+AQ13+AQ14)</f>
        <v>0</v>
      </c>
      <c r="AS31" s="296">
        <f>(AS8+AS10+AS13+AS14)-(AR8+AR10+AR13+AR14)</f>
        <v>0</v>
      </c>
      <c r="AT31" s="296">
        <f>(AT8+AT10+AT13+AT14)-(AS8+AS10+AS13+AS14)</f>
        <v>0</v>
      </c>
      <c r="AU31" s="296">
        <f>(AU8+AU10+AU13+AU14)-(AT8+AT10+AT13+AT14)</f>
        <v>0</v>
      </c>
    </row>
    <row r="32" spans="1:47" ht="12.75" hidden="1">
      <c r="A32" s="119" t="s">
        <v>136</v>
      </c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>
        <f>AC9-P9</f>
        <v>1945.9589213999998</v>
      </c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>
        <f>AP9-AC9</f>
        <v>381.36682080000264</v>
      </c>
      <c r="AQ32" s="296">
        <f>AQ9-AP9</f>
        <v>0</v>
      </c>
      <c r="AR32" s="296">
        <f>AR9-AQ9</f>
        <v>0</v>
      </c>
      <c r="AS32" s="296">
        <f>AS9-AR9</f>
        <v>0</v>
      </c>
      <c r="AT32" s="296">
        <f>AT9-AS9</f>
        <v>0</v>
      </c>
      <c r="AU32" s="296">
        <f>AU9-AT9</f>
        <v>0</v>
      </c>
    </row>
    <row r="33" spans="1:47" ht="12.75" hidden="1">
      <c r="A33" s="119" t="s">
        <v>137</v>
      </c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>
        <f>(AC21+AC17)-(P21+P17)</f>
        <v>-333.79624077474364</v>
      </c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>
        <f>(AP21+AP17)-(AC21+AC17)</f>
        <v>-1500.5196278802105</v>
      </c>
      <c r="AQ33" s="296">
        <f>(AQ21+AQ17)-(AP21+AP17)</f>
        <v>-1608.9923131060395</v>
      </c>
      <c r="AR33" s="296">
        <f>(AR21+AR17)-(AQ21+AQ17)</f>
        <v>-1725.3064975175366</v>
      </c>
      <c r="AS33" s="296">
        <f>(AS21+AS17)-(AR21+AR17)</f>
        <v>-1850.0290437248682</v>
      </c>
      <c r="AT33" s="296">
        <f>(AT21+AT17)-(AS21+AS17)</f>
        <v>-1983.767792882123</v>
      </c>
      <c r="AU33" s="296">
        <f>(AU21+AU17)-(AT21+AT17)</f>
        <v>-1774.87327611443</v>
      </c>
    </row>
    <row r="34" spans="1:47" ht="12.75" hidden="1">
      <c r="A34" s="119" t="s">
        <v>138</v>
      </c>
      <c r="K34" s="296"/>
      <c r="L34" s="296">
        <f aca="true" t="shared" si="27" ref="L34:Q34">L31+L32+L33</f>
        <v>0</v>
      </c>
      <c r="M34" s="296">
        <f t="shared" si="27"/>
        <v>0</v>
      </c>
      <c r="N34" s="296">
        <f t="shared" si="27"/>
        <v>0</v>
      </c>
      <c r="O34" s="296">
        <f t="shared" si="27"/>
        <v>0</v>
      </c>
      <c r="P34" s="296">
        <f t="shared" si="27"/>
        <v>0</v>
      </c>
      <c r="Q34" s="296">
        <f t="shared" si="27"/>
        <v>0</v>
      </c>
      <c r="R34" s="296">
        <f aca="true" t="shared" si="28" ref="R34:AB34">R31+R32+R33</f>
        <v>0</v>
      </c>
      <c r="S34" s="296">
        <f t="shared" si="28"/>
        <v>0</v>
      </c>
      <c r="T34" s="296">
        <f t="shared" si="28"/>
        <v>0</v>
      </c>
      <c r="U34" s="296">
        <f t="shared" si="28"/>
        <v>0</v>
      </c>
      <c r="V34" s="296">
        <f t="shared" si="28"/>
        <v>0</v>
      </c>
      <c r="W34" s="296">
        <f t="shared" si="28"/>
        <v>0</v>
      </c>
      <c r="X34" s="296">
        <f t="shared" si="28"/>
        <v>0</v>
      </c>
      <c r="Y34" s="296">
        <f t="shared" si="28"/>
        <v>0</v>
      </c>
      <c r="Z34" s="296">
        <f t="shared" si="28"/>
        <v>0</v>
      </c>
      <c r="AA34" s="296">
        <f t="shared" si="28"/>
        <v>0</v>
      </c>
      <c r="AB34" s="296">
        <f t="shared" si="28"/>
        <v>0</v>
      </c>
      <c r="AC34" s="296">
        <f>-AC31+AC32+AC33</f>
        <v>2471.8055761966843</v>
      </c>
      <c r="AD34" s="296">
        <f aca="true" t="shared" si="29" ref="AD34:AO34">AD31+AD32+AD33</f>
        <v>0</v>
      </c>
      <c r="AE34" s="296">
        <f t="shared" si="29"/>
        <v>0</v>
      </c>
      <c r="AF34" s="296">
        <f t="shared" si="29"/>
        <v>0</v>
      </c>
      <c r="AG34" s="296">
        <f t="shared" si="29"/>
        <v>0</v>
      </c>
      <c r="AH34" s="296">
        <f t="shared" si="29"/>
        <v>0</v>
      </c>
      <c r="AI34" s="296">
        <f t="shared" si="29"/>
        <v>0</v>
      </c>
      <c r="AJ34" s="296">
        <f t="shared" si="29"/>
        <v>0</v>
      </c>
      <c r="AK34" s="296">
        <f t="shared" si="29"/>
        <v>0</v>
      </c>
      <c r="AL34" s="296">
        <f t="shared" si="29"/>
        <v>0</v>
      </c>
      <c r="AM34" s="296">
        <f t="shared" si="29"/>
        <v>0</v>
      </c>
      <c r="AN34" s="296">
        <f t="shared" si="29"/>
        <v>0</v>
      </c>
      <c r="AO34" s="296">
        <f t="shared" si="29"/>
        <v>0</v>
      </c>
      <c r="AP34" s="296">
        <f aca="true" t="shared" si="30" ref="AP34:AU34">-AP31+AP32+AP33</f>
        <v>-687.3881437944934</v>
      </c>
      <c r="AQ34" s="296">
        <f t="shared" si="30"/>
        <v>-1608.9923131060395</v>
      </c>
      <c r="AR34" s="296">
        <f t="shared" si="30"/>
        <v>-1725.3064975175366</v>
      </c>
      <c r="AS34" s="296">
        <f t="shared" si="30"/>
        <v>-1850.0290437248682</v>
      </c>
      <c r="AT34" s="296">
        <f t="shared" si="30"/>
        <v>-1983.767792882123</v>
      </c>
      <c r="AU34" s="296">
        <f t="shared" si="30"/>
        <v>-1774.87327611443</v>
      </c>
    </row>
    <row r="35" spans="1:47" ht="12.75" hidden="1">
      <c r="A35" s="119" t="s">
        <v>77</v>
      </c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>
        <f>'2-ф2'!AC12</f>
        <v>678.5968571428571</v>
      </c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>
        <f>'2-ф2'!AP12</f>
        <v>678.5968571428571</v>
      </c>
      <c r="AQ35" s="296">
        <f>'2-ф2'!AQ12</f>
        <v>678.5968571428571</v>
      </c>
      <c r="AR35" s="296">
        <f>'2-ф2'!AR12</f>
        <v>678.5968571428571</v>
      </c>
      <c r="AS35" s="296">
        <f>'2-ф2'!AS12</f>
        <v>678.5968571428571</v>
      </c>
      <c r="AT35" s="296">
        <f>'2-ф2'!AT12</f>
        <v>678.5968571428571</v>
      </c>
      <c r="AU35" s="296">
        <f>'2-ф2'!AU12</f>
        <v>678.5968571428571</v>
      </c>
    </row>
    <row r="36" spans="1:47" ht="12.75" hidden="1">
      <c r="A36" s="119" t="s">
        <v>139</v>
      </c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>
        <f>-'1-Ф3'!AC21</f>
        <v>0</v>
      </c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>
        <f>-'1-Ф3'!AP21</f>
        <v>0</v>
      </c>
      <c r="AQ36" s="296">
        <f>-'1-Ф3'!AQ21</f>
        <v>0</v>
      </c>
      <c r="AR36" s="296">
        <f>-'1-Ф3'!AR21</f>
        <v>0</v>
      </c>
      <c r="AS36" s="296">
        <f>-'1-Ф3'!AS21</f>
        <v>0</v>
      </c>
      <c r="AT36" s="296">
        <f>-'1-Ф3'!AT21</f>
        <v>0</v>
      </c>
      <c r="AU36" s="296">
        <f>-'1-Ф3'!AU21</f>
        <v>0</v>
      </c>
    </row>
    <row r="37" spans="1:47" ht="12.75" hidden="1">
      <c r="A37" s="119" t="s">
        <v>140</v>
      </c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>
        <f>AC30+AC34+AC35+AC36</f>
        <v>3694.4042022433687</v>
      </c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>
        <f aca="true" t="shared" si="31" ref="AP37:AU37">AP30+AP34+AP35+AP36</f>
        <v>3159.8249532736013</v>
      </c>
      <c r="AQ37" s="296">
        <f t="shared" si="31"/>
        <v>3786.274591205574</v>
      </c>
      <c r="AR37" s="296">
        <f t="shared" si="31"/>
        <v>4100.122513525566</v>
      </c>
      <c r="AS37" s="296">
        <f t="shared" si="31"/>
        <v>3578.5895017322164</v>
      </c>
      <c r="AT37" s="296">
        <f t="shared" si="31"/>
        <v>3030.096288506999</v>
      </c>
      <c r="AU37" s="296">
        <f t="shared" si="31"/>
        <v>2804.7658013691776</v>
      </c>
    </row>
    <row r="38" spans="11:47" ht="12.75" hidden="1"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</row>
    <row r="39" spans="1:47" ht="12.75" hidden="1">
      <c r="A39" s="119" t="s">
        <v>146</v>
      </c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>
        <f>'1-Ф3'!AC34</f>
        <v>-197.5136405566326</v>
      </c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>
        <f>'1-Ф3'!AP34</f>
        <v>2397.0913116735974</v>
      </c>
      <c r="AQ39" s="296">
        <f>'1-Ф3'!AQ34</f>
        <v>3786.2745912055716</v>
      </c>
      <c r="AR39" s="296">
        <f>'1-Ф3'!AR34</f>
        <v>4100.122513525574</v>
      </c>
      <c r="AS39" s="296">
        <f>'1-Ф3'!AS34</f>
        <v>3578.589501732212</v>
      </c>
      <c r="AT39" s="296">
        <f>'1-Ф3'!AT34</f>
        <v>3030.0962885070016</v>
      </c>
      <c r="AU39" s="296">
        <f>'1-Ф3'!AU34</f>
        <v>2804.7658013691807</v>
      </c>
    </row>
    <row r="40" spans="1:47" ht="12.75" hidden="1">
      <c r="A40" s="136" t="s">
        <v>134</v>
      </c>
      <c r="B40" s="137"/>
      <c r="C40" s="138"/>
      <c r="D40" s="139"/>
      <c r="E40" s="139"/>
      <c r="F40" s="139"/>
      <c r="G40" s="139"/>
      <c r="H40" s="139"/>
      <c r="I40" s="139"/>
      <c r="J40" s="139"/>
      <c r="K40" s="257"/>
      <c r="L40" s="257">
        <f aca="true" t="shared" si="32" ref="L40:Q40">L39-L37</f>
        <v>0</v>
      </c>
      <c r="M40" s="257">
        <f t="shared" si="32"/>
        <v>0</v>
      </c>
      <c r="N40" s="257">
        <f t="shared" si="32"/>
        <v>0</v>
      </c>
      <c r="O40" s="257">
        <f t="shared" si="32"/>
        <v>0</v>
      </c>
      <c r="P40" s="257">
        <f t="shared" si="32"/>
        <v>0</v>
      </c>
      <c r="Q40" s="257">
        <f t="shared" si="32"/>
        <v>0</v>
      </c>
      <c r="R40" s="257">
        <f aca="true" t="shared" si="33" ref="R40:AB40">R39-R37</f>
        <v>0</v>
      </c>
      <c r="S40" s="257">
        <f t="shared" si="33"/>
        <v>0</v>
      </c>
      <c r="T40" s="257">
        <f t="shared" si="33"/>
        <v>0</v>
      </c>
      <c r="U40" s="257">
        <f t="shared" si="33"/>
        <v>0</v>
      </c>
      <c r="V40" s="257">
        <f t="shared" si="33"/>
        <v>0</v>
      </c>
      <c r="W40" s="257">
        <f t="shared" si="33"/>
        <v>0</v>
      </c>
      <c r="X40" s="257">
        <f t="shared" si="33"/>
        <v>0</v>
      </c>
      <c r="Y40" s="257">
        <f t="shared" si="33"/>
        <v>0</v>
      </c>
      <c r="Z40" s="257">
        <f t="shared" si="33"/>
        <v>0</v>
      </c>
      <c r="AA40" s="257">
        <f t="shared" si="33"/>
        <v>0</v>
      </c>
      <c r="AB40" s="257">
        <f t="shared" si="33"/>
        <v>0</v>
      </c>
      <c r="AC40" s="257">
        <f aca="true" t="shared" si="34" ref="AC40:AT40">AC39-AC37</f>
        <v>-3891.9178428000014</v>
      </c>
      <c r="AD40" s="257">
        <f t="shared" si="34"/>
        <v>0</v>
      </c>
      <c r="AE40" s="257">
        <f t="shared" si="34"/>
        <v>0</v>
      </c>
      <c r="AF40" s="257">
        <f t="shared" si="34"/>
        <v>0</v>
      </c>
      <c r="AG40" s="257">
        <f t="shared" si="34"/>
        <v>0</v>
      </c>
      <c r="AH40" s="257">
        <f t="shared" si="34"/>
        <v>0</v>
      </c>
      <c r="AI40" s="257">
        <f t="shared" si="34"/>
        <v>0</v>
      </c>
      <c r="AJ40" s="257">
        <f t="shared" si="34"/>
        <v>0</v>
      </c>
      <c r="AK40" s="257">
        <f t="shared" si="34"/>
        <v>0</v>
      </c>
      <c r="AL40" s="257">
        <f t="shared" si="34"/>
        <v>0</v>
      </c>
      <c r="AM40" s="257">
        <f t="shared" si="34"/>
        <v>0</v>
      </c>
      <c r="AN40" s="257">
        <f t="shared" si="34"/>
        <v>0</v>
      </c>
      <c r="AO40" s="257">
        <f t="shared" si="34"/>
        <v>0</v>
      </c>
      <c r="AP40" s="257">
        <f t="shared" si="34"/>
        <v>-762.7336416000039</v>
      </c>
      <c r="AQ40" s="257">
        <f t="shared" si="34"/>
        <v>0</v>
      </c>
      <c r="AR40" s="257">
        <f t="shared" si="34"/>
        <v>7.275957614183426E-12</v>
      </c>
      <c r="AS40" s="257">
        <f t="shared" si="34"/>
        <v>-4.547473508864641E-12</v>
      </c>
      <c r="AT40" s="257">
        <f t="shared" si="34"/>
        <v>0</v>
      </c>
      <c r="AU40" s="257">
        <f>AU39-AU37</f>
        <v>0</v>
      </c>
    </row>
    <row r="41" spans="11:47" ht="12.75">
      <c r="K41" s="296">
        <f>K28-J28</f>
        <v>0</v>
      </c>
      <c r="L41" s="296">
        <f aca="true" t="shared" si="35" ref="L41:Q41">L28-K28</f>
        <v>0</v>
      </c>
      <c r="M41" s="296">
        <f t="shared" si="35"/>
        <v>0</v>
      </c>
      <c r="N41" s="296">
        <f t="shared" si="35"/>
        <v>0</v>
      </c>
      <c r="O41" s="296">
        <f t="shared" si="35"/>
        <v>0</v>
      </c>
      <c r="P41" s="296">
        <f t="shared" si="35"/>
        <v>0</v>
      </c>
      <c r="Q41" s="296">
        <f t="shared" si="35"/>
        <v>0</v>
      </c>
      <c r="R41" s="296">
        <f>R28-Q28</f>
        <v>0</v>
      </c>
      <c r="S41" s="296">
        <f aca="true" t="shared" si="36" ref="S41:AU41">S28-R28</f>
        <v>0</v>
      </c>
      <c r="T41" s="296">
        <f t="shared" si="36"/>
        <v>0</v>
      </c>
      <c r="U41" s="296">
        <f t="shared" si="36"/>
        <v>0</v>
      </c>
      <c r="V41" s="296">
        <f t="shared" si="36"/>
        <v>0</v>
      </c>
      <c r="W41" s="296">
        <f t="shared" si="36"/>
        <v>0</v>
      </c>
      <c r="X41" s="296">
        <f t="shared" si="36"/>
        <v>0</v>
      </c>
      <c r="Y41" s="296">
        <f t="shared" si="36"/>
        <v>0</v>
      </c>
      <c r="Z41" s="296">
        <f t="shared" si="36"/>
        <v>0</v>
      </c>
      <c r="AA41" s="296">
        <f t="shared" si="36"/>
        <v>0</v>
      </c>
      <c r="AB41" s="296">
        <f t="shared" si="36"/>
        <v>0</v>
      </c>
      <c r="AC41" s="296">
        <f>AC28-AB28</f>
        <v>0</v>
      </c>
      <c r="AD41" s="296">
        <f>AD28-AC28</f>
        <v>0</v>
      </c>
      <c r="AE41" s="296">
        <f>AE28-AD28</f>
        <v>0</v>
      </c>
      <c r="AF41" s="296">
        <f>AF28-AE28</f>
        <v>0</v>
      </c>
      <c r="AG41" s="296">
        <f t="shared" si="36"/>
        <v>0</v>
      </c>
      <c r="AH41" s="296">
        <f t="shared" si="36"/>
        <v>0</v>
      </c>
      <c r="AI41" s="296">
        <f t="shared" si="36"/>
        <v>0</v>
      </c>
      <c r="AJ41" s="296">
        <f t="shared" si="36"/>
        <v>0</v>
      </c>
      <c r="AK41" s="296">
        <f t="shared" si="36"/>
        <v>0</v>
      </c>
      <c r="AL41" s="296">
        <f t="shared" si="36"/>
        <v>0</v>
      </c>
      <c r="AM41" s="296">
        <f t="shared" si="36"/>
        <v>0</v>
      </c>
      <c r="AN41" s="296">
        <f t="shared" si="36"/>
        <v>0</v>
      </c>
      <c r="AO41" s="296">
        <f t="shared" si="36"/>
        <v>0</v>
      </c>
      <c r="AP41" s="296">
        <f t="shared" si="36"/>
        <v>0</v>
      </c>
      <c r="AQ41" s="296">
        <f t="shared" si="36"/>
        <v>0</v>
      </c>
      <c r="AR41" s="296">
        <f t="shared" si="36"/>
        <v>0</v>
      </c>
      <c r="AS41" s="296">
        <f t="shared" si="36"/>
        <v>0</v>
      </c>
      <c r="AT41" s="296">
        <f t="shared" si="36"/>
        <v>0</v>
      </c>
      <c r="AU41" s="296">
        <f t="shared" si="36"/>
        <v>0</v>
      </c>
    </row>
  </sheetData>
  <sheetProtection/>
  <mergeCells count="5">
    <mergeCell ref="A3:A4"/>
    <mergeCell ref="B3:B4"/>
    <mergeCell ref="D3:P3"/>
    <mergeCell ref="Q3:AC3"/>
    <mergeCell ref="AD3:AP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50"/>
  <sheetViews>
    <sheetView showGridLines="0" zoomScalePageLayoutView="0" workbookViewId="0" topLeftCell="A1">
      <pane ySplit="3" topLeftCell="A25" activePane="bottomLeft" state="frozen"/>
      <selection pane="topLeft" activeCell="A34" sqref="A34"/>
      <selection pane="bottomLeft" activeCell="G49" sqref="G49"/>
    </sheetView>
  </sheetViews>
  <sheetFormatPr defaultColWidth="9.00390625" defaultRowHeight="12.75"/>
  <cols>
    <col min="1" max="1" width="31.25390625" style="78" customWidth="1"/>
    <col min="2" max="2" width="16.125" style="78" customWidth="1"/>
    <col min="3" max="3" width="10.75390625" style="78" customWidth="1"/>
    <col min="4" max="4" width="5.375" style="78" customWidth="1"/>
    <col min="5" max="5" width="7.00390625" style="78" bestFit="1" customWidth="1"/>
    <col min="6" max="6" width="5.875" style="78" customWidth="1"/>
    <col min="7" max="8" width="5.75390625" style="78" bestFit="1" customWidth="1"/>
    <col min="9" max="9" width="6.375" style="78" bestFit="1" customWidth="1"/>
    <col min="10" max="10" width="8.75390625" style="78" bestFit="1" customWidth="1"/>
    <col min="11" max="11" width="7.625" style="78" bestFit="1" customWidth="1"/>
    <col min="12" max="12" width="19.00390625" style="78" customWidth="1"/>
    <col min="13" max="13" width="8.00390625" style="78" bestFit="1" customWidth="1"/>
    <col min="14" max="14" width="14.375" style="78" customWidth="1"/>
    <col min="15" max="16384" width="9.125" style="78" customWidth="1"/>
  </cols>
  <sheetData>
    <row r="1" spans="1:3" ht="15.75" customHeight="1">
      <c r="A1" s="350" t="s">
        <v>39</v>
      </c>
      <c r="B1" s="350"/>
      <c r="C1" s="350"/>
    </row>
    <row r="2" spans="1:14" ht="12" customHeight="1">
      <c r="A2" s="62"/>
      <c r="N2" s="247">
        <f>'1-Ф3'!$B$2</f>
        <v>-0.36300308117168356</v>
      </c>
    </row>
    <row r="3" spans="1:14" ht="12.75">
      <c r="A3" s="79" t="s">
        <v>28</v>
      </c>
      <c r="B3" s="80" t="s">
        <v>40</v>
      </c>
      <c r="C3" s="80" t="s">
        <v>8</v>
      </c>
      <c r="N3" s="247">
        <f>'Осн.пок-ли'!B6</f>
        <v>2385.8524159999997</v>
      </c>
    </row>
    <row r="4" ht="12.75">
      <c r="A4" s="62" t="s">
        <v>148</v>
      </c>
    </row>
    <row r="5" spans="1:4" ht="12.75">
      <c r="A5" s="81" t="s">
        <v>102</v>
      </c>
      <c r="B5" s="81"/>
      <c r="C5" s="234">
        <v>152.85</v>
      </c>
      <c r="D5" s="78" t="s">
        <v>303</v>
      </c>
    </row>
    <row r="6" spans="1:4" ht="12.75">
      <c r="A6" s="81" t="s">
        <v>304</v>
      </c>
      <c r="B6" s="81"/>
      <c r="C6" s="234">
        <v>25.01</v>
      </c>
      <c r="D6" s="78" t="s">
        <v>303</v>
      </c>
    </row>
    <row r="7" spans="1:4" ht="12.75">
      <c r="A7" s="81" t="s">
        <v>157</v>
      </c>
      <c r="B7" s="81"/>
      <c r="C7" s="234">
        <v>4.64</v>
      </c>
      <c r="D7" s="78" t="s">
        <v>303</v>
      </c>
    </row>
    <row r="8" spans="1:4" ht="12.75">
      <c r="A8" s="81" t="s">
        <v>73</v>
      </c>
      <c r="B8" s="81"/>
      <c r="C8" s="160">
        <f>20%*C9+C41*(1-C20)*(1-C9)</f>
        <v>0.08234049939170708</v>
      </c>
      <c r="D8" s="78" t="s">
        <v>158</v>
      </c>
    </row>
    <row r="9" spans="1:3" ht="12.75">
      <c r="A9" s="81" t="s">
        <v>207</v>
      </c>
      <c r="B9" s="81"/>
      <c r="C9" s="160">
        <f>'1-Ф3'!B28/'1-Ф3'!B27</f>
        <v>0.18292013466463247</v>
      </c>
    </row>
    <row r="10" spans="1:3" ht="12.75">
      <c r="A10" s="81" t="s">
        <v>141</v>
      </c>
      <c r="B10" s="81"/>
      <c r="C10" s="85" t="s">
        <v>59</v>
      </c>
    </row>
    <row r="11" ht="12.75">
      <c r="A11" s="62" t="s">
        <v>142</v>
      </c>
    </row>
    <row r="12" spans="1:4" ht="12.75">
      <c r="A12" s="81" t="s">
        <v>47</v>
      </c>
      <c r="B12" s="83" t="s">
        <v>42</v>
      </c>
      <c r="C12" s="84">
        <v>0.1</v>
      </c>
      <c r="D12" s="78" t="s">
        <v>214</v>
      </c>
    </row>
    <row r="13" spans="1:4" ht="12.75">
      <c r="A13" s="81" t="s">
        <v>52</v>
      </c>
      <c r="B13" s="83" t="s">
        <v>42</v>
      </c>
      <c r="C13" s="84">
        <v>0.05</v>
      </c>
      <c r="D13" s="78" t="s">
        <v>214</v>
      </c>
    </row>
    <row r="14" spans="1:4" ht="12.75">
      <c r="A14" s="81" t="s">
        <v>48</v>
      </c>
      <c r="B14" s="83" t="s">
        <v>42</v>
      </c>
      <c r="C14" s="84">
        <v>0.1</v>
      </c>
      <c r="D14" s="78" t="s">
        <v>214</v>
      </c>
    </row>
    <row r="15" spans="1:4" ht="12.75">
      <c r="A15" s="81" t="s">
        <v>50</v>
      </c>
      <c r="B15" s="83" t="s">
        <v>42</v>
      </c>
      <c r="C15" s="84">
        <v>0.11</v>
      </c>
      <c r="D15" s="78" t="s">
        <v>214</v>
      </c>
    </row>
    <row r="16" spans="1:4" ht="12.75">
      <c r="A16" s="81" t="s">
        <v>112</v>
      </c>
      <c r="B16" s="83" t="s">
        <v>59</v>
      </c>
      <c r="C16" s="86">
        <v>18.66</v>
      </c>
      <c r="D16" s="78" t="s">
        <v>214</v>
      </c>
    </row>
    <row r="17" spans="1:4" ht="12.75">
      <c r="A17" s="81" t="s">
        <v>2</v>
      </c>
      <c r="B17" s="83"/>
      <c r="C17" s="243">
        <v>0.015</v>
      </c>
      <c r="D17" s="78" t="s">
        <v>214</v>
      </c>
    </row>
    <row r="18" spans="1:4" ht="12.75">
      <c r="A18" s="81" t="s">
        <v>41</v>
      </c>
      <c r="B18" s="83" t="s">
        <v>42</v>
      </c>
      <c r="C18" s="84">
        <v>0.12</v>
      </c>
      <c r="D18" s="78" t="s">
        <v>214</v>
      </c>
    </row>
    <row r="19" spans="1:4" ht="12.75">
      <c r="A19" s="81" t="s">
        <v>60</v>
      </c>
      <c r="B19" s="81"/>
      <c r="C19" s="82">
        <v>1.12</v>
      </c>
      <c r="D19" s="78" t="s">
        <v>214</v>
      </c>
    </row>
    <row r="20" spans="1:4" ht="12.75">
      <c r="A20" s="81" t="s">
        <v>209</v>
      </c>
      <c r="B20" s="81"/>
      <c r="C20" s="84">
        <v>0.2</v>
      </c>
      <c r="D20" s="78" t="s">
        <v>214</v>
      </c>
    </row>
    <row r="21" spans="1:4" ht="12.75">
      <c r="A21" s="62" t="s">
        <v>196</v>
      </c>
      <c r="D21" s="78" t="s">
        <v>168</v>
      </c>
    </row>
    <row r="22" spans="1:4" ht="12.75">
      <c r="A22" s="81" t="s">
        <v>326</v>
      </c>
      <c r="B22" s="83" t="s">
        <v>329</v>
      </c>
      <c r="C22" s="145">
        <v>130</v>
      </c>
      <c r="D22" s="311">
        <f>SUM(D23:D24)</f>
        <v>1</v>
      </c>
    </row>
    <row r="23" spans="1:4" s="307" customFormat="1" ht="12">
      <c r="A23" s="308" t="s">
        <v>328</v>
      </c>
      <c r="B23" s="306" t="s">
        <v>329</v>
      </c>
      <c r="C23" s="312">
        <f>$C$22*D23</f>
        <v>78</v>
      </c>
      <c r="D23" s="309">
        <v>0.6</v>
      </c>
    </row>
    <row r="24" spans="1:4" s="307" customFormat="1" ht="12">
      <c r="A24" s="308" t="s">
        <v>327</v>
      </c>
      <c r="B24" s="306" t="s">
        <v>329</v>
      </c>
      <c r="C24" s="312">
        <f>$C$22*D24</f>
        <v>52</v>
      </c>
      <c r="D24" s="310">
        <f>1-D23</f>
        <v>0.4</v>
      </c>
    </row>
    <row r="25" spans="1:5" ht="12.75">
      <c r="A25" s="81" t="s">
        <v>208</v>
      </c>
      <c r="B25" s="83" t="s">
        <v>201</v>
      </c>
      <c r="C25" s="145">
        <v>25</v>
      </c>
      <c r="D25" s="78" t="s">
        <v>306</v>
      </c>
      <c r="E25" s="247"/>
    </row>
    <row r="26" spans="1:5" ht="12.75">
      <c r="A26" s="81" t="s">
        <v>262</v>
      </c>
      <c r="B26" s="83" t="s">
        <v>265</v>
      </c>
      <c r="C26" s="145">
        <v>1</v>
      </c>
      <c r="E26" s="247"/>
    </row>
    <row r="27" spans="1:5" ht="12.75">
      <c r="A27" s="81" t="s">
        <v>258</v>
      </c>
      <c r="B27" s="83" t="s">
        <v>259</v>
      </c>
      <c r="C27" s="145">
        <v>8</v>
      </c>
      <c r="E27" s="247"/>
    </row>
    <row r="28" ht="12.75">
      <c r="E28" s="247"/>
    </row>
    <row r="29" spans="1:3" ht="12.75">
      <c r="A29" s="156" t="s">
        <v>210</v>
      </c>
      <c r="B29" s="83"/>
      <c r="C29" s="146"/>
    </row>
    <row r="30" spans="1:4" ht="12.75">
      <c r="A30" s="81" t="str">
        <f>A22</f>
        <v>Краска акрилатная</v>
      </c>
      <c r="B30" s="83" t="s">
        <v>330</v>
      </c>
      <c r="C30" s="146">
        <f>C22*C27*C26*C25</f>
        <v>26000</v>
      </c>
      <c r="D30" s="271" t="s">
        <v>231</v>
      </c>
    </row>
    <row r="31" spans="1:4" s="307" customFormat="1" ht="12">
      <c r="A31" s="308" t="str">
        <f>A23</f>
        <v>Краска для внутренних работ</v>
      </c>
      <c r="B31" s="306" t="s">
        <v>330</v>
      </c>
      <c r="C31" s="312">
        <f>$C$30*D23</f>
        <v>15600</v>
      </c>
      <c r="D31" s="313"/>
    </row>
    <row r="32" spans="1:4" s="307" customFormat="1" ht="12">
      <c r="A32" s="308" t="str">
        <f>A24</f>
        <v>Краска фасадная</v>
      </c>
      <c r="B32" s="306" t="s">
        <v>330</v>
      </c>
      <c r="C32" s="312">
        <f>$C$30*D24</f>
        <v>10400</v>
      </c>
      <c r="D32" s="313"/>
    </row>
    <row r="33" spans="1:14" ht="12.75">
      <c r="A33" s="62" t="s">
        <v>211</v>
      </c>
      <c r="N33" s="307"/>
    </row>
    <row r="34" spans="1:14" ht="12.75">
      <c r="A34" s="81" t="str">
        <f>A31</f>
        <v>Краска для внутренних работ</v>
      </c>
      <c r="B34" s="83" t="s">
        <v>310</v>
      </c>
      <c r="C34" s="145">
        <v>140</v>
      </c>
      <c r="E34" s="283" t="s">
        <v>332</v>
      </c>
      <c r="N34" s="307"/>
    </row>
    <row r="35" spans="1:14" ht="12.75">
      <c r="A35" s="81" t="str">
        <f>A32</f>
        <v>Краска фасадная</v>
      </c>
      <c r="B35" s="83" t="s">
        <v>310</v>
      </c>
      <c r="C35" s="145">
        <v>165</v>
      </c>
      <c r="N35" s="307"/>
    </row>
    <row r="36" spans="1:14" ht="12.75">
      <c r="A36" s="288" t="s">
        <v>267</v>
      </c>
      <c r="B36" s="83" t="s">
        <v>257</v>
      </c>
      <c r="C36" s="234">
        <v>11.48</v>
      </c>
      <c r="E36" s="283" t="s">
        <v>331</v>
      </c>
      <c r="N36" s="307"/>
    </row>
    <row r="37" ht="12.75">
      <c r="A37" s="62" t="s">
        <v>307</v>
      </c>
    </row>
    <row r="38" spans="1:3" ht="12.75">
      <c r="A38" s="288" t="s">
        <v>309</v>
      </c>
      <c r="B38" s="83" t="s">
        <v>242</v>
      </c>
      <c r="C38" s="145">
        <f>2.2+5</f>
        <v>7.2</v>
      </c>
    </row>
    <row r="39" spans="1:3" ht="12.75">
      <c r="A39" s="288" t="s">
        <v>311</v>
      </c>
      <c r="B39" s="83" t="s">
        <v>312</v>
      </c>
      <c r="C39" s="146">
        <f>C26*C27*C25*C38</f>
        <v>1440</v>
      </c>
    </row>
    <row r="40" ht="12.75">
      <c r="A40" s="62" t="s">
        <v>149</v>
      </c>
    </row>
    <row r="41" spans="1:4" ht="12.75">
      <c r="A41" s="81" t="s">
        <v>57</v>
      </c>
      <c r="B41" s="83" t="s">
        <v>42</v>
      </c>
      <c r="C41" s="84">
        <v>0.07</v>
      </c>
      <c r="D41" s="78" t="s">
        <v>313</v>
      </c>
    </row>
    <row r="42" spans="1:3" ht="12.75">
      <c r="A42" s="81" t="s">
        <v>150</v>
      </c>
      <c r="B42" s="83" t="s">
        <v>151</v>
      </c>
      <c r="C42" s="234">
        <v>7</v>
      </c>
    </row>
    <row r="43" spans="1:3" ht="12.75">
      <c r="A43" s="81" t="s">
        <v>152</v>
      </c>
      <c r="B43" s="83" t="s">
        <v>154</v>
      </c>
      <c r="C43" s="145">
        <v>9</v>
      </c>
    </row>
    <row r="44" spans="1:3" ht="12.75">
      <c r="A44" s="81" t="s">
        <v>153</v>
      </c>
      <c r="B44" s="83" t="s">
        <v>154</v>
      </c>
      <c r="C44" s="145">
        <v>6</v>
      </c>
    </row>
    <row r="46" ht="12.75">
      <c r="A46" s="62" t="s">
        <v>243</v>
      </c>
    </row>
    <row r="47" spans="1:14" ht="12.75">
      <c r="A47" s="81" t="s">
        <v>218</v>
      </c>
      <c r="B47" s="83" t="s">
        <v>219</v>
      </c>
      <c r="C47" s="83" t="s">
        <v>220</v>
      </c>
      <c r="D47" s="83" t="s">
        <v>221</v>
      </c>
      <c r="E47" s="83" t="s">
        <v>222</v>
      </c>
      <c r="F47" s="83" t="s">
        <v>223</v>
      </c>
      <c r="G47" s="83" t="s">
        <v>224</v>
      </c>
      <c r="H47" s="83" t="s">
        <v>225</v>
      </c>
      <c r="I47" s="83" t="s">
        <v>226</v>
      </c>
      <c r="J47" s="83" t="s">
        <v>227</v>
      </c>
      <c r="K47" s="83" t="s">
        <v>228</v>
      </c>
      <c r="L47" s="83" t="s">
        <v>229</v>
      </c>
      <c r="M47" s="83" t="s">
        <v>230</v>
      </c>
      <c r="N47" s="268" t="s">
        <v>235</v>
      </c>
    </row>
    <row r="48" spans="1:14" ht="12.75">
      <c r="A48" s="81" t="s">
        <v>296</v>
      </c>
      <c r="B48" s="252">
        <v>0.05</v>
      </c>
      <c r="C48" s="252">
        <v>0.07</v>
      </c>
      <c r="D48" s="252">
        <v>0.08</v>
      </c>
      <c r="E48" s="252">
        <v>0.08</v>
      </c>
      <c r="F48" s="252">
        <v>0.1</v>
      </c>
      <c r="G48" s="252">
        <v>0.11</v>
      </c>
      <c r="H48" s="252">
        <v>0.12</v>
      </c>
      <c r="I48" s="252">
        <v>0.12</v>
      </c>
      <c r="J48" s="252">
        <v>0.1</v>
      </c>
      <c r="K48" s="252">
        <v>0.08</v>
      </c>
      <c r="L48" s="252">
        <v>0.06</v>
      </c>
      <c r="M48" s="252">
        <v>0.03</v>
      </c>
      <c r="N48" s="295">
        <f>SUM(B48:M48)</f>
        <v>1</v>
      </c>
    </row>
    <row r="49" spans="1:2" ht="12.75">
      <c r="A49" s="148"/>
      <c r="B49" s="148"/>
    </row>
    <row r="50" spans="1:2" ht="12.75">
      <c r="A50" s="148" t="s">
        <v>297</v>
      </c>
      <c r="B50" s="302">
        <f>1/12</f>
        <v>0.08333333333333333</v>
      </c>
    </row>
  </sheetData>
  <sheetProtection/>
  <mergeCells count="1">
    <mergeCell ref="A1:C1"/>
  </mergeCells>
  <hyperlinks>
    <hyperlink ref="E36" r:id="rId1" display="http://www.newskaz.ru/society/20130726/5361848.html"/>
    <hyperlink ref="E34" r:id="rId2" display="http://semey.all.biz/kraski-akrilovye-kraski-vodoemulsionnye-akrilovye-g206748"/>
  </hyperlinks>
  <printOptions/>
  <pageMargins left="0.39" right="0.22" top="0.5" bottom="0.2" header="0.23" footer="0.17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8.875" defaultRowHeight="12.75"/>
  <cols>
    <col min="1" max="1" width="28.125" style="78" customWidth="1"/>
    <col min="2" max="2" width="7.875" style="78" bestFit="1" customWidth="1"/>
    <col min="3" max="3" width="9.125" style="78" bestFit="1" customWidth="1"/>
    <col min="4" max="4" width="19.00390625" style="78" bestFit="1" customWidth="1"/>
    <col min="5" max="5" width="28.875" style="78" bestFit="1" customWidth="1"/>
    <col min="6" max="6" width="19.00390625" style="78" bestFit="1" customWidth="1"/>
    <col min="7" max="7" width="8.75390625" style="78" customWidth="1"/>
    <col min="8" max="8" width="19.00390625" style="78" bestFit="1" customWidth="1"/>
    <col min="9" max="9" width="7.375" style="78" bestFit="1" customWidth="1"/>
    <col min="10" max="16384" width="8.875" style="78" customWidth="1"/>
  </cols>
  <sheetData>
    <row r="1" ht="12.75">
      <c r="A1" s="62" t="s">
        <v>197</v>
      </c>
    </row>
    <row r="2" ht="12.75">
      <c r="A2" s="62"/>
    </row>
    <row r="3" ht="12.75">
      <c r="F3" s="247"/>
    </row>
    <row r="4" spans="1:4" ht="12.75">
      <c r="A4" s="357" t="s">
        <v>185</v>
      </c>
      <c r="B4" s="355" t="s">
        <v>215</v>
      </c>
      <c r="C4" s="360" t="s">
        <v>217</v>
      </c>
      <c r="D4" s="361"/>
    </row>
    <row r="5" spans="1:4" ht="12.75">
      <c r="A5" s="358"/>
      <c r="B5" s="356"/>
      <c r="C5" s="249" t="s">
        <v>43</v>
      </c>
      <c r="D5" s="249" t="s">
        <v>216</v>
      </c>
    </row>
    <row r="6" spans="1:4" ht="12.75">
      <c r="A6" s="81" t="str">
        <f>Исх!A23</f>
        <v>Краска для внутренних работ</v>
      </c>
      <c r="B6" s="232" t="s">
        <v>260</v>
      </c>
      <c r="C6" s="232">
        <f>D6/Исх!$C$19</f>
        <v>124.99999999999999</v>
      </c>
      <c r="D6" s="232">
        <f>Исх!$C34</f>
        <v>140</v>
      </c>
    </row>
    <row r="7" spans="1:4" ht="12.75">
      <c r="A7" s="81" t="str">
        <f>Исх!A24</f>
        <v>Краска фасадная</v>
      </c>
      <c r="B7" s="232" t="s">
        <v>260</v>
      </c>
      <c r="C7" s="232">
        <f>D7/Исх!$C$19</f>
        <v>147.32142857142856</v>
      </c>
      <c r="D7" s="232">
        <f>Исх!$C35</f>
        <v>165</v>
      </c>
    </row>
    <row r="11" spans="1:9" ht="12.75" customHeight="1">
      <c r="A11" s="357" t="s">
        <v>185</v>
      </c>
      <c r="B11" s="355" t="s">
        <v>215</v>
      </c>
      <c r="C11" s="249" t="s">
        <v>302</v>
      </c>
      <c r="D11" s="359" t="s">
        <v>298</v>
      </c>
      <c r="E11" s="359"/>
      <c r="F11" s="351" t="s">
        <v>261</v>
      </c>
      <c r="G11" s="352"/>
      <c r="H11" s="353" t="s">
        <v>245</v>
      </c>
      <c r="I11" s="354"/>
    </row>
    <row r="12" spans="1:9" ht="12.75">
      <c r="A12" s="358"/>
      <c r="B12" s="356"/>
      <c r="C12" s="249" t="s">
        <v>43</v>
      </c>
      <c r="D12" s="249" t="s">
        <v>299</v>
      </c>
      <c r="E12" s="249" t="s">
        <v>300</v>
      </c>
      <c r="F12" s="249" t="s">
        <v>299</v>
      </c>
      <c r="G12" s="249" t="s">
        <v>300</v>
      </c>
      <c r="H12" s="249" t="s">
        <v>299</v>
      </c>
      <c r="I12" s="249" t="s">
        <v>301</v>
      </c>
    </row>
    <row r="13" spans="1:9" ht="12.75">
      <c r="A13" s="81" t="str">
        <f aca="true" t="shared" si="0" ref="A13:C14">A6</f>
        <v>Краска для внутренних работ</v>
      </c>
      <c r="B13" s="232" t="str">
        <f t="shared" si="0"/>
        <v>кг</v>
      </c>
      <c r="C13" s="232">
        <f t="shared" si="0"/>
        <v>124.99999999999999</v>
      </c>
      <c r="D13" s="232">
        <f>'Расх перем'!B16</f>
        <v>62.767076923076914</v>
      </c>
      <c r="E13" s="232">
        <f>'Расх перем'!B20</f>
        <v>108.47359601072995</v>
      </c>
      <c r="F13" s="232">
        <f>C13-D13</f>
        <v>62.23292307692307</v>
      </c>
      <c r="G13" s="232">
        <f>C13-E13</f>
        <v>16.526403989270037</v>
      </c>
      <c r="H13" s="273">
        <f>F13/C13</f>
        <v>0.49786338461538465</v>
      </c>
      <c r="I13" s="273">
        <f>G13/C13</f>
        <v>0.13221123191416032</v>
      </c>
    </row>
    <row r="14" spans="1:9" ht="12.75">
      <c r="A14" s="81" t="str">
        <f t="shared" si="0"/>
        <v>Краска фасадная</v>
      </c>
      <c r="B14" s="232" t="str">
        <f t="shared" si="0"/>
        <v>кг</v>
      </c>
      <c r="C14" s="232">
        <f t="shared" si="0"/>
        <v>147.32142857142856</v>
      </c>
      <c r="D14" s="232">
        <f>'Расх перем'!D16</f>
        <v>77.04399999999998</v>
      </c>
      <c r="E14" s="232">
        <f>'Расх перем'!D20</f>
        <v>130.91239749616253</v>
      </c>
      <c r="F14" s="232">
        <f>C14-D14</f>
        <v>70.27742857142857</v>
      </c>
      <c r="G14" s="232">
        <f>C14-E14</f>
        <v>16.40903107526603</v>
      </c>
      <c r="H14" s="273">
        <f>F14/C14</f>
        <v>0.4770346666666667</v>
      </c>
      <c r="I14" s="273">
        <f>G14/C14</f>
        <v>0.11138251396544215</v>
      </c>
    </row>
  </sheetData>
  <sheetProtection/>
  <mergeCells count="8">
    <mergeCell ref="F11:G11"/>
    <mergeCell ref="H11:I11"/>
    <mergeCell ref="B11:B12"/>
    <mergeCell ref="A11:A12"/>
    <mergeCell ref="D11:E11"/>
    <mergeCell ref="A4:A5"/>
    <mergeCell ref="B4:B5"/>
    <mergeCell ref="C4:D4"/>
  </mergeCells>
  <printOptions/>
  <pageMargins left="0.1968503937007874" right="0.1968503937007874" top="0.6299212598425197" bottom="2.125984251968504" header="0.196850393700787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V21"/>
  <sheetViews>
    <sheetView showGridLines="0" showZeros="0" zoomScalePageLayoutView="0" workbookViewId="0" topLeftCell="A1">
      <pane xSplit="3" ySplit="4" topLeftCell="P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9" sqref="A9"/>
    </sheetView>
  </sheetViews>
  <sheetFormatPr defaultColWidth="10.125" defaultRowHeight="12.75" outlineLevelCol="1"/>
  <cols>
    <col min="1" max="1" width="30.125" style="237" customWidth="1"/>
    <col min="2" max="2" width="11.375" style="237" customWidth="1"/>
    <col min="3" max="3" width="10.125" style="237" customWidth="1"/>
    <col min="4" max="15" width="7.00390625" style="237" hidden="1" customWidth="1" outlineLevel="1"/>
    <col min="16" max="16" width="9.125" style="237" customWidth="1" collapsed="1"/>
    <col min="17" max="28" width="8.375" style="237" hidden="1" customWidth="1" outlineLevel="1"/>
    <col min="29" max="29" width="9.125" style="237" customWidth="1" collapsed="1"/>
    <col min="30" max="41" width="8.375" style="237" hidden="1" customWidth="1" outlineLevel="1"/>
    <col min="42" max="42" width="9.125" style="237" customWidth="1" collapsed="1"/>
    <col min="43" max="47" width="9.125" style="237" customWidth="1"/>
    <col min="48" max="48" width="10.125" style="235" customWidth="1"/>
    <col min="49" max="16384" width="10.125" style="237" customWidth="1"/>
  </cols>
  <sheetData>
    <row r="1" spans="1:48" ht="21" customHeight="1">
      <c r="A1" s="240" t="s">
        <v>232</v>
      </c>
      <c r="B1" s="236"/>
      <c r="C1" s="236"/>
      <c r="AV1" s="237"/>
    </row>
    <row r="2" spans="1:48" ht="17.25" customHeight="1">
      <c r="A2" s="240"/>
      <c r="B2" s="241"/>
      <c r="C2" s="238"/>
      <c r="AV2" s="237"/>
    </row>
    <row r="3" spans="1:48" ht="12.75" customHeight="1">
      <c r="A3" s="362" t="s">
        <v>191</v>
      </c>
      <c r="B3" s="345" t="s">
        <v>89</v>
      </c>
      <c r="C3" s="364" t="s">
        <v>40</v>
      </c>
      <c r="D3" s="346">
        <v>2013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>
        <v>2014</v>
      </c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7">
        <v>2015</v>
      </c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9"/>
      <c r="AQ3" s="123"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  <c r="AV3" s="237"/>
    </row>
    <row r="4" spans="1:48" ht="12.75">
      <c r="A4" s="363"/>
      <c r="B4" s="345"/>
      <c r="C4" s="365"/>
      <c r="D4" s="125">
        <f aca="true" t="shared" si="0" ref="D4:L4">C4+1</f>
        <v>1</v>
      </c>
      <c r="E4" s="125">
        <f t="shared" si="0"/>
        <v>2</v>
      </c>
      <c r="F4" s="125">
        <f t="shared" si="0"/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>L4+1</f>
        <v>10</v>
      </c>
      <c r="N4" s="125">
        <f>M4+1</f>
        <v>11</v>
      </c>
      <c r="O4" s="125">
        <f>N4+1</f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111</v>
      </c>
      <c r="AR4" s="121" t="s">
        <v>111</v>
      </c>
      <c r="AS4" s="121" t="s">
        <v>111</v>
      </c>
      <c r="AT4" s="121" t="s">
        <v>111</v>
      </c>
      <c r="AU4" s="121" t="s">
        <v>111</v>
      </c>
      <c r="AV4" s="237"/>
    </row>
    <row r="5" spans="1:48" ht="12.75">
      <c r="A5" s="253" t="s">
        <v>192</v>
      </c>
      <c r="B5" s="127"/>
      <c r="C5" s="12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28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28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237"/>
    </row>
    <row r="6" spans="1:48" ht="15" customHeight="1">
      <c r="A6" s="239" t="s">
        <v>198</v>
      </c>
      <c r="B6" s="127"/>
      <c r="C6" s="128"/>
      <c r="D6" s="132"/>
      <c r="E6" s="132"/>
      <c r="F6" s="132"/>
      <c r="G6" s="132"/>
      <c r="H6" s="132"/>
      <c r="I6" s="245"/>
      <c r="J6" s="245"/>
      <c r="K6" s="245"/>
      <c r="L6" s="245"/>
      <c r="M6" s="245"/>
      <c r="N6" s="245"/>
      <c r="O6" s="245"/>
      <c r="P6" s="245"/>
      <c r="Q6" s="246">
        <v>0.7</v>
      </c>
      <c r="R6" s="245">
        <f>Q6</f>
        <v>0.7</v>
      </c>
      <c r="S6" s="245">
        <f>R6</f>
        <v>0.7</v>
      </c>
      <c r="T6" s="246">
        <v>0.7</v>
      </c>
      <c r="U6" s="245">
        <f>T6</f>
        <v>0.7</v>
      </c>
      <c r="V6" s="245">
        <f>U6</f>
        <v>0.7</v>
      </c>
      <c r="W6" s="246">
        <v>0.75</v>
      </c>
      <c r="X6" s="245">
        <f>W6</f>
        <v>0.75</v>
      </c>
      <c r="Y6" s="245">
        <f>X6</f>
        <v>0.75</v>
      </c>
      <c r="Z6" s="246">
        <v>0.8</v>
      </c>
      <c r="AA6" s="245">
        <f>Z6</f>
        <v>0.8</v>
      </c>
      <c r="AB6" s="245">
        <f>AA6</f>
        <v>0.8</v>
      </c>
      <c r="AC6" s="245">
        <f>AVERAGE(Q6:AB6)</f>
        <v>0.7375000000000002</v>
      </c>
      <c r="AD6" s="246">
        <v>0.8</v>
      </c>
      <c r="AE6" s="245">
        <f>AD6</f>
        <v>0.8</v>
      </c>
      <c r="AF6" s="245">
        <f>AE6</f>
        <v>0.8</v>
      </c>
      <c r="AG6" s="246">
        <v>0.8</v>
      </c>
      <c r="AH6" s="245">
        <f>AG6</f>
        <v>0.8</v>
      </c>
      <c r="AI6" s="245">
        <f>AH6</f>
        <v>0.8</v>
      </c>
      <c r="AJ6" s="246">
        <v>0.9</v>
      </c>
      <c r="AK6" s="245">
        <f>AJ6</f>
        <v>0.9</v>
      </c>
      <c r="AL6" s="245">
        <f>AK6</f>
        <v>0.9</v>
      </c>
      <c r="AM6" s="246">
        <v>0.9</v>
      </c>
      <c r="AN6" s="245">
        <f>AM6</f>
        <v>0.9</v>
      </c>
      <c r="AO6" s="245">
        <f>AN6</f>
        <v>0.9</v>
      </c>
      <c r="AP6" s="245">
        <f>AVERAGE(AD6:AO6)</f>
        <v>0.8500000000000001</v>
      </c>
      <c r="AQ6" s="246">
        <v>0.95</v>
      </c>
      <c r="AR6" s="246">
        <v>1</v>
      </c>
      <c r="AS6" s="245">
        <f>AR6</f>
        <v>1</v>
      </c>
      <c r="AT6" s="245">
        <f>AS6</f>
        <v>1</v>
      </c>
      <c r="AU6" s="245">
        <f>AT6</f>
        <v>1</v>
      </c>
      <c r="AV6" s="237"/>
    </row>
    <row r="7" spans="1:48" ht="15" customHeight="1">
      <c r="A7" s="239" t="str">
        <f>Исх!A22</f>
        <v>Краска акрилатная</v>
      </c>
      <c r="B7" s="127">
        <f>SUM(B8:B9)</f>
        <v>2039.7</v>
      </c>
      <c r="C7" s="128"/>
      <c r="D7" s="127">
        <f aca="true" t="shared" si="3" ref="D7:AU7">SUM(D8:D9)</f>
        <v>0</v>
      </c>
      <c r="E7" s="127">
        <f t="shared" si="3"/>
        <v>0</v>
      </c>
      <c r="F7" s="127">
        <f t="shared" si="3"/>
        <v>0</v>
      </c>
      <c r="G7" s="127">
        <f t="shared" si="3"/>
        <v>0</v>
      </c>
      <c r="H7" s="127">
        <f t="shared" si="3"/>
        <v>0</v>
      </c>
      <c r="I7" s="127">
        <f t="shared" si="3"/>
        <v>0</v>
      </c>
      <c r="J7" s="127">
        <f t="shared" si="3"/>
        <v>0</v>
      </c>
      <c r="K7" s="127">
        <f t="shared" si="3"/>
        <v>0</v>
      </c>
      <c r="L7" s="127">
        <f t="shared" si="3"/>
        <v>0</v>
      </c>
      <c r="M7" s="127">
        <f t="shared" si="3"/>
        <v>0</v>
      </c>
      <c r="N7" s="127">
        <f t="shared" si="3"/>
        <v>0</v>
      </c>
      <c r="O7" s="127">
        <f t="shared" si="3"/>
        <v>0</v>
      </c>
      <c r="P7" s="127">
        <f t="shared" si="3"/>
        <v>0</v>
      </c>
      <c r="Q7" s="127">
        <f t="shared" si="3"/>
        <v>18.2</v>
      </c>
      <c r="R7" s="127">
        <f t="shared" si="3"/>
        <v>18.2</v>
      </c>
      <c r="S7" s="127">
        <f t="shared" si="3"/>
        <v>18.2</v>
      </c>
      <c r="T7" s="127">
        <f t="shared" si="3"/>
        <v>18.2</v>
      </c>
      <c r="U7" s="127">
        <f t="shared" si="3"/>
        <v>18.2</v>
      </c>
      <c r="V7" s="127">
        <f t="shared" si="3"/>
        <v>18.2</v>
      </c>
      <c r="W7" s="127">
        <f t="shared" si="3"/>
        <v>19.5</v>
      </c>
      <c r="X7" s="127">
        <f t="shared" si="3"/>
        <v>19.5</v>
      </c>
      <c r="Y7" s="127">
        <f t="shared" si="3"/>
        <v>19.5</v>
      </c>
      <c r="Z7" s="127">
        <f t="shared" si="3"/>
        <v>20.8</v>
      </c>
      <c r="AA7" s="127">
        <f t="shared" si="3"/>
        <v>20.8</v>
      </c>
      <c r="AB7" s="127">
        <f t="shared" si="3"/>
        <v>20.8</v>
      </c>
      <c r="AC7" s="127">
        <f t="shared" si="3"/>
        <v>230.1</v>
      </c>
      <c r="AD7" s="127">
        <f t="shared" si="3"/>
        <v>20.8</v>
      </c>
      <c r="AE7" s="127">
        <f t="shared" si="3"/>
        <v>20.8</v>
      </c>
      <c r="AF7" s="127">
        <f t="shared" si="3"/>
        <v>20.8</v>
      </c>
      <c r="AG7" s="127">
        <f t="shared" si="3"/>
        <v>20.8</v>
      </c>
      <c r="AH7" s="127">
        <f t="shared" si="3"/>
        <v>20.8</v>
      </c>
      <c r="AI7" s="127">
        <f t="shared" si="3"/>
        <v>20.8</v>
      </c>
      <c r="AJ7" s="127">
        <f t="shared" si="3"/>
        <v>23.4</v>
      </c>
      <c r="AK7" s="127">
        <f t="shared" si="3"/>
        <v>23.4</v>
      </c>
      <c r="AL7" s="127">
        <f t="shared" si="3"/>
        <v>23.4</v>
      </c>
      <c r="AM7" s="127">
        <f t="shared" si="3"/>
        <v>23.4</v>
      </c>
      <c r="AN7" s="127">
        <f t="shared" si="3"/>
        <v>23.4</v>
      </c>
      <c r="AO7" s="127">
        <f t="shared" si="3"/>
        <v>23.4</v>
      </c>
      <c r="AP7" s="127">
        <f t="shared" si="3"/>
        <v>265.2</v>
      </c>
      <c r="AQ7" s="127">
        <f t="shared" si="3"/>
        <v>296.4</v>
      </c>
      <c r="AR7" s="127">
        <f t="shared" si="3"/>
        <v>312</v>
      </c>
      <c r="AS7" s="127">
        <f t="shared" si="3"/>
        <v>312</v>
      </c>
      <c r="AT7" s="127">
        <f t="shared" si="3"/>
        <v>312</v>
      </c>
      <c r="AU7" s="127">
        <f t="shared" si="3"/>
        <v>312</v>
      </c>
      <c r="AV7" s="237"/>
    </row>
    <row r="8" spans="1:48" ht="15" customHeight="1">
      <c r="A8" s="239" t="str">
        <f>Дох!A13</f>
        <v>Краска для внутренних работ</v>
      </c>
      <c r="B8" s="127">
        <f>P8+AC8+AP8+AQ8+AR8+AS8+AT8+AU8</f>
        <v>1223.8200000000002</v>
      </c>
      <c r="C8" s="298" t="s">
        <v>333</v>
      </c>
      <c r="D8" s="132">
        <f>Исх!$C29*Производство!D$6</f>
        <v>0</v>
      </c>
      <c r="E8" s="132">
        <f>Исх!$C29*Производство!E$6</f>
        <v>0</v>
      </c>
      <c r="F8" s="132">
        <f>Исх!$C29*Производство!F$6</f>
        <v>0</v>
      </c>
      <c r="G8" s="132">
        <f>Исх!$C29*Производство!G$6</f>
        <v>0</v>
      </c>
      <c r="H8" s="132">
        <f>Исх!$C29*Производство!H$6</f>
        <v>0</v>
      </c>
      <c r="I8" s="132">
        <f>Исх!$C30*Производство!I$6</f>
        <v>0</v>
      </c>
      <c r="J8" s="132">
        <f>Исх!$C30*Производство!J$6</f>
        <v>0</v>
      </c>
      <c r="K8" s="132">
        <f>Исх!$C30*Производство!K$6</f>
        <v>0</v>
      </c>
      <c r="L8" s="132">
        <f>Исх!$C30*Производство!L$6</f>
        <v>0</v>
      </c>
      <c r="M8" s="132">
        <f>Исх!$C30*Производство!M$6</f>
        <v>0</v>
      </c>
      <c r="N8" s="132">
        <f>Исх!$C30*Производство!N$6</f>
        <v>0</v>
      </c>
      <c r="O8" s="132">
        <f>Исх!$C30*Производство!O$6</f>
        <v>0</v>
      </c>
      <c r="P8" s="128">
        <f>SUM(D8:O8)</f>
        <v>0</v>
      </c>
      <c r="Q8" s="132">
        <f>Исх!$C31*Производство!Q$6/1000</f>
        <v>10.92</v>
      </c>
      <c r="R8" s="132">
        <f>Исх!$C31*Производство!R$6/1000</f>
        <v>10.92</v>
      </c>
      <c r="S8" s="132">
        <f>Исх!$C31*Производство!S$6/1000</f>
        <v>10.92</v>
      </c>
      <c r="T8" s="132">
        <f>Исх!$C31*Производство!T$6/1000</f>
        <v>10.92</v>
      </c>
      <c r="U8" s="132">
        <f>Исх!$C31*Производство!U$6/1000</f>
        <v>10.92</v>
      </c>
      <c r="V8" s="132">
        <f>Исх!$C31*Производство!V$6/1000</f>
        <v>10.92</v>
      </c>
      <c r="W8" s="132">
        <f>Исх!$C31*Производство!W$6/1000</f>
        <v>11.7</v>
      </c>
      <c r="X8" s="132">
        <f>Исх!$C31*Производство!X$6/1000</f>
        <v>11.7</v>
      </c>
      <c r="Y8" s="132">
        <f>Исх!$C31*Производство!Y$6/1000</f>
        <v>11.7</v>
      </c>
      <c r="Z8" s="132">
        <f>Исх!$C31*Производство!Z$6/1000</f>
        <v>12.48</v>
      </c>
      <c r="AA8" s="132">
        <f>Исх!$C31*Производство!AA$6/1000</f>
        <v>12.48</v>
      </c>
      <c r="AB8" s="132">
        <f>Исх!$C31*Производство!AB$6/1000</f>
        <v>12.48</v>
      </c>
      <c r="AC8" s="128">
        <f>SUM(Q8:AB8)</f>
        <v>138.06</v>
      </c>
      <c r="AD8" s="132">
        <f>Исх!$C31*Производство!AD$6/1000</f>
        <v>12.48</v>
      </c>
      <c r="AE8" s="132">
        <f>Исх!$C31*Производство!AE$6/1000</f>
        <v>12.48</v>
      </c>
      <c r="AF8" s="132">
        <f>Исх!$C31*Производство!AF$6/1000</f>
        <v>12.48</v>
      </c>
      <c r="AG8" s="132">
        <f>Исх!$C31*Производство!AG$6/1000</f>
        <v>12.48</v>
      </c>
      <c r="AH8" s="132">
        <f>Исх!$C31*Производство!AH$6/1000</f>
        <v>12.48</v>
      </c>
      <c r="AI8" s="132">
        <f>Исх!$C31*Производство!AI$6/1000</f>
        <v>12.48</v>
      </c>
      <c r="AJ8" s="132">
        <f>Исх!$C31*Производство!AJ$6/1000</f>
        <v>14.04</v>
      </c>
      <c r="AK8" s="132">
        <f>Исх!$C31*Производство!AK$6/1000</f>
        <v>14.04</v>
      </c>
      <c r="AL8" s="132">
        <f>Исх!$C31*Производство!AL$6/1000</f>
        <v>14.04</v>
      </c>
      <c r="AM8" s="132">
        <f>Исх!$C31*Производство!AM$6/1000</f>
        <v>14.04</v>
      </c>
      <c r="AN8" s="132">
        <f>Исх!$C31*Производство!AN$6/1000</f>
        <v>14.04</v>
      </c>
      <c r="AO8" s="132">
        <f>Исх!$C31*Производство!AO$6/1000</f>
        <v>14.04</v>
      </c>
      <c r="AP8" s="132">
        <f>SUM(AD8:AO8)</f>
        <v>159.11999999999998</v>
      </c>
      <c r="AQ8" s="132">
        <f>Исх!$C31*Производство!AQ$6/1000*12</f>
        <v>177.84</v>
      </c>
      <c r="AR8" s="132">
        <f>Исх!$C31*Производство!AR$6/1000*12</f>
        <v>187.2</v>
      </c>
      <c r="AS8" s="132">
        <f>Исх!$C31*Производство!AS$6/1000*12</f>
        <v>187.2</v>
      </c>
      <c r="AT8" s="132">
        <f>Исх!$C31*Производство!AT$6/1000*12</f>
        <v>187.2</v>
      </c>
      <c r="AU8" s="132">
        <f>Исх!$C31*Производство!AU$6/1000*12</f>
        <v>187.2</v>
      </c>
      <c r="AV8" s="237"/>
    </row>
    <row r="9" spans="1:48" ht="15" customHeight="1">
      <c r="A9" s="239" t="str">
        <f>Дох!A14</f>
        <v>Краска фасадная</v>
      </c>
      <c r="B9" s="127">
        <f>P9+AC9+AP9+AQ9+AR9+AS9+AT9+AU9</f>
        <v>815.8799999999999</v>
      </c>
      <c r="C9" s="298" t="s">
        <v>333</v>
      </c>
      <c r="D9" s="132">
        <f>Исх!$C30*Производство!D$6</f>
        <v>0</v>
      </c>
      <c r="E9" s="132">
        <f>Исх!$C30*Производство!E$6</f>
        <v>0</v>
      </c>
      <c r="F9" s="132">
        <f>Исх!$C30*Производство!F$6</f>
        <v>0</v>
      </c>
      <c r="G9" s="132">
        <f>Исх!$C30*Производство!G$6</f>
        <v>0</v>
      </c>
      <c r="H9" s="132">
        <f>Исх!$C30*Производство!H$6</f>
        <v>0</v>
      </c>
      <c r="I9" s="132">
        <f>Исх!$C31*Производство!I$6</f>
        <v>0</v>
      </c>
      <c r="J9" s="132">
        <f>Исх!$C31*Производство!J$6</f>
        <v>0</v>
      </c>
      <c r="K9" s="132">
        <f>Исх!$C31*Производство!K$6</f>
        <v>0</v>
      </c>
      <c r="L9" s="132">
        <f>Исх!$C31*Производство!L$6</f>
        <v>0</v>
      </c>
      <c r="M9" s="132">
        <f>Исх!$C31*Производство!M$6</f>
        <v>0</v>
      </c>
      <c r="N9" s="132">
        <f>Исх!$C31*Производство!N$6</f>
        <v>0</v>
      </c>
      <c r="O9" s="132">
        <f>Исх!$C31*Производство!O$6</f>
        <v>0</v>
      </c>
      <c r="P9" s="128">
        <f>SUM(D9:O9)</f>
        <v>0</v>
      </c>
      <c r="Q9" s="132">
        <f>Исх!$C32*Производство!Q$6/1000</f>
        <v>7.279999999999999</v>
      </c>
      <c r="R9" s="132">
        <f>Исх!$C32*Производство!R$6/1000</f>
        <v>7.279999999999999</v>
      </c>
      <c r="S9" s="132">
        <f>Исх!$C32*Производство!S$6/1000</f>
        <v>7.279999999999999</v>
      </c>
      <c r="T9" s="132">
        <f>Исх!$C32*Производство!T$6/1000</f>
        <v>7.279999999999999</v>
      </c>
      <c r="U9" s="132">
        <f>Исх!$C32*Производство!U$6/1000</f>
        <v>7.279999999999999</v>
      </c>
      <c r="V9" s="132">
        <f>Исх!$C32*Производство!V$6/1000</f>
        <v>7.279999999999999</v>
      </c>
      <c r="W9" s="132">
        <f>Исх!$C32*Производство!W$6/1000</f>
        <v>7.8</v>
      </c>
      <c r="X9" s="132">
        <f>Исх!$C32*Производство!X$6/1000</f>
        <v>7.8</v>
      </c>
      <c r="Y9" s="132">
        <f>Исх!$C32*Производство!Y$6/1000</f>
        <v>7.8</v>
      </c>
      <c r="Z9" s="132">
        <f>Исх!$C32*Производство!Z$6/1000</f>
        <v>8.32</v>
      </c>
      <c r="AA9" s="132">
        <f>Исх!$C32*Производство!AA$6/1000</f>
        <v>8.32</v>
      </c>
      <c r="AB9" s="132">
        <f>Исх!$C32*Производство!AB$6/1000</f>
        <v>8.32</v>
      </c>
      <c r="AC9" s="128">
        <f>SUM(Q9:AB9)</f>
        <v>92.03999999999999</v>
      </c>
      <c r="AD9" s="132">
        <f>Исх!$C32*Производство!AD$6/1000</f>
        <v>8.32</v>
      </c>
      <c r="AE9" s="132">
        <f>Исх!$C32*Производство!AE$6/1000</f>
        <v>8.32</v>
      </c>
      <c r="AF9" s="132">
        <f>Исх!$C32*Производство!AF$6/1000</f>
        <v>8.32</v>
      </c>
      <c r="AG9" s="132">
        <f>Исх!$C32*Производство!AG$6/1000</f>
        <v>8.32</v>
      </c>
      <c r="AH9" s="132">
        <f>Исх!$C32*Производство!AH$6/1000</f>
        <v>8.32</v>
      </c>
      <c r="AI9" s="132">
        <f>Исх!$C32*Производство!AI$6/1000</f>
        <v>8.32</v>
      </c>
      <c r="AJ9" s="132">
        <f>Исх!$C32*Производство!AJ$6/1000</f>
        <v>9.36</v>
      </c>
      <c r="AK9" s="132">
        <f>Исх!$C32*Производство!AK$6/1000</f>
        <v>9.36</v>
      </c>
      <c r="AL9" s="132">
        <f>Исх!$C32*Производство!AL$6/1000</f>
        <v>9.36</v>
      </c>
      <c r="AM9" s="132">
        <f>Исх!$C32*Производство!AM$6/1000</f>
        <v>9.36</v>
      </c>
      <c r="AN9" s="132">
        <f>Исх!$C32*Производство!AN$6/1000</f>
        <v>9.36</v>
      </c>
      <c r="AO9" s="132">
        <f>Исх!$C32*Производство!AO$6/1000</f>
        <v>9.36</v>
      </c>
      <c r="AP9" s="132">
        <f>SUM(AD9:AO9)</f>
        <v>106.08</v>
      </c>
      <c r="AQ9" s="132">
        <f>Исх!$C32*Производство!AQ$6/1000*12</f>
        <v>118.56</v>
      </c>
      <c r="AR9" s="132">
        <f>Исх!$C32*Производство!AR$6/1000*12</f>
        <v>124.80000000000001</v>
      </c>
      <c r="AS9" s="132">
        <f>Исх!$C32*Производство!AS$6/1000*12</f>
        <v>124.80000000000001</v>
      </c>
      <c r="AT9" s="132">
        <f>Исх!$C32*Производство!AT$6/1000*12</f>
        <v>124.80000000000001</v>
      </c>
      <c r="AU9" s="132">
        <f>Исх!$C32*Производство!AU$6/1000*12</f>
        <v>124.80000000000001</v>
      </c>
      <c r="AV9" s="237"/>
    </row>
    <row r="10" ht="12.75">
      <c r="C10" s="299"/>
    </row>
    <row r="11" spans="1:48" ht="12.75">
      <c r="A11" s="254" t="s">
        <v>233</v>
      </c>
      <c r="B11" s="127"/>
      <c r="C11" s="300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27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27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237"/>
    </row>
    <row r="12" spans="1:48" ht="15" customHeight="1">
      <c r="A12" s="239" t="str">
        <f>A7</f>
        <v>Краска акрилатная</v>
      </c>
      <c r="B12" s="127">
        <f>SUM(B13:B14)</f>
        <v>2005.7134500000002</v>
      </c>
      <c r="C12" s="298">
        <f>C7</f>
        <v>0</v>
      </c>
      <c r="D12" s="127">
        <f aca="true" t="shared" si="4" ref="D12:AU12">SUM(D13:D14)</f>
        <v>0</v>
      </c>
      <c r="E12" s="127">
        <f t="shared" si="4"/>
        <v>0</v>
      </c>
      <c r="F12" s="127">
        <f t="shared" si="4"/>
        <v>0</v>
      </c>
      <c r="G12" s="127">
        <f t="shared" si="4"/>
        <v>0</v>
      </c>
      <c r="H12" s="127">
        <f t="shared" si="4"/>
        <v>0</v>
      </c>
      <c r="I12" s="127">
        <f t="shared" si="4"/>
        <v>0</v>
      </c>
      <c r="J12" s="127">
        <f t="shared" si="4"/>
        <v>0</v>
      </c>
      <c r="K12" s="127">
        <f t="shared" si="4"/>
        <v>0</v>
      </c>
      <c r="L12" s="127">
        <f t="shared" si="4"/>
        <v>0</v>
      </c>
      <c r="M12" s="127">
        <f t="shared" si="4"/>
        <v>0</v>
      </c>
      <c r="N12" s="127">
        <f t="shared" si="4"/>
        <v>0</v>
      </c>
      <c r="O12" s="127">
        <f t="shared" si="4"/>
        <v>0</v>
      </c>
      <c r="P12" s="127">
        <f t="shared" si="4"/>
        <v>0</v>
      </c>
      <c r="Q12" s="127">
        <f t="shared" si="4"/>
        <v>11.504999999999999</v>
      </c>
      <c r="R12" s="127">
        <f t="shared" si="4"/>
        <v>16.107</v>
      </c>
      <c r="S12" s="127">
        <f t="shared" si="4"/>
        <v>18.408</v>
      </c>
      <c r="T12" s="127">
        <f t="shared" si="4"/>
        <v>18.408</v>
      </c>
      <c r="U12" s="127">
        <f t="shared" si="4"/>
        <v>23.009999999999998</v>
      </c>
      <c r="V12" s="127">
        <f t="shared" si="4"/>
        <v>18.983249999999998</v>
      </c>
      <c r="W12" s="127">
        <f t="shared" si="4"/>
        <v>16.5672</v>
      </c>
      <c r="X12" s="127">
        <f t="shared" si="4"/>
        <v>16.5672</v>
      </c>
      <c r="Y12" s="127">
        <f t="shared" si="4"/>
        <v>23.009999999999998</v>
      </c>
      <c r="Z12" s="127">
        <f t="shared" si="4"/>
        <v>18.408</v>
      </c>
      <c r="AA12" s="127">
        <f t="shared" si="4"/>
        <v>13.806</v>
      </c>
      <c r="AB12" s="127">
        <f t="shared" si="4"/>
        <v>6.903</v>
      </c>
      <c r="AC12" s="127">
        <f t="shared" si="4"/>
        <v>201.68264999999997</v>
      </c>
      <c r="AD12" s="127">
        <f t="shared" si="4"/>
        <v>13.26</v>
      </c>
      <c r="AE12" s="127">
        <f t="shared" si="4"/>
        <v>18.564</v>
      </c>
      <c r="AF12" s="127">
        <f t="shared" si="4"/>
        <v>21.215999999999998</v>
      </c>
      <c r="AG12" s="127">
        <f t="shared" si="4"/>
        <v>21.215999999999998</v>
      </c>
      <c r="AH12" s="127">
        <f t="shared" si="4"/>
        <v>26.52</v>
      </c>
      <c r="AI12" s="127">
        <f t="shared" si="4"/>
        <v>29.171999999999997</v>
      </c>
      <c r="AJ12" s="127">
        <f t="shared" si="4"/>
        <v>31.823999999999998</v>
      </c>
      <c r="AK12" s="127">
        <f t="shared" si="4"/>
        <v>30.232799999999994</v>
      </c>
      <c r="AL12" s="127">
        <f t="shared" si="4"/>
        <v>22.541999999999998</v>
      </c>
      <c r="AM12" s="127">
        <f t="shared" si="4"/>
        <v>21.215999999999998</v>
      </c>
      <c r="AN12" s="127">
        <f t="shared" si="4"/>
        <v>15.911999999999999</v>
      </c>
      <c r="AO12" s="127">
        <f t="shared" si="4"/>
        <v>7.9559999999999995</v>
      </c>
      <c r="AP12" s="127">
        <f t="shared" si="4"/>
        <v>259.63079999999997</v>
      </c>
      <c r="AQ12" s="127">
        <f t="shared" si="4"/>
        <v>296.4</v>
      </c>
      <c r="AR12" s="127">
        <f t="shared" si="4"/>
        <v>312</v>
      </c>
      <c r="AS12" s="127">
        <f t="shared" si="4"/>
        <v>312</v>
      </c>
      <c r="AT12" s="127">
        <f t="shared" si="4"/>
        <v>312</v>
      </c>
      <c r="AU12" s="127">
        <f t="shared" si="4"/>
        <v>312</v>
      </c>
      <c r="AV12" s="237"/>
    </row>
    <row r="13" spans="1:48" ht="15" customHeight="1">
      <c r="A13" s="239" t="str">
        <f>A8</f>
        <v>Краска для внутренних работ</v>
      </c>
      <c r="B13" s="127">
        <f>P13+AC13+AP13+AQ13+AR13+AS13+AT13+AU13</f>
        <v>1203.4280700000002</v>
      </c>
      <c r="C13" s="298" t="str">
        <f>C8</f>
        <v>тыс.кг</v>
      </c>
      <c r="D13" s="132"/>
      <c r="E13" s="132"/>
      <c r="F13" s="132"/>
      <c r="G13" s="132"/>
      <c r="H13" s="132"/>
      <c r="I13" s="132"/>
      <c r="J13" s="132">
        <f>J8*Исх!H$48*0.5</f>
        <v>0</v>
      </c>
      <c r="K13" s="132">
        <f>K8*Исх!I$48</f>
        <v>0</v>
      </c>
      <c r="L13" s="132">
        <f>L8*Исх!J$48</f>
        <v>0</v>
      </c>
      <c r="M13" s="132">
        <f>M8*Исх!K$48</f>
        <v>0</v>
      </c>
      <c r="N13" s="132">
        <f>N8*Исх!L$48</f>
        <v>0</v>
      </c>
      <c r="O13" s="132"/>
      <c r="P13" s="128">
        <f>SUM(D13:O13)</f>
        <v>0</v>
      </c>
      <c r="Q13" s="132">
        <f>$AC$8*Исх!B48</f>
        <v>6.9030000000000005</v>
      </c>
      <c r="R13" s="132">
        <f>$AC$8*Исх!C48</f>
        <v>9.664200000000001</v>
      </c>
      <c r="S13" s="132">
        <f>$AC$8*Исх!D48</f>
        <v>11.0448</v>
      </c>
      <c r="T13" s="132">
        <f>$AC$8*Исх!E48</f>
        <v>11.0448</v>
      </c>
      <c r="U13" s="132">
        <f>$AC$8*Исх!F48</f>
        <v>13.806000000000001</v>
      </c>
      <c r="V13" s="274">
        <f>$AC$8*Исх!G48*0.75</f>
        <v>11.38995</v>
      </c>
      <c r="W13" s="274">
        <f>$AC$8*Исх!H48*0.6</f>
        <v>9.94032</v>
      </c>
      <c r="X13" s="274">
        <f>$AC$8*Исх!I48*0.6</f>
        <v>9.94032</v>
      </c>
      <c r="Y13" s="132">
        <f>$AC$8*Исх!J48</f>
        <v>13.806000000000001</v>
      </c>
      <c r="Z13" s="132">
        <f>$AC$8*Исх!K48</f>
        <v>11.0448</v>
      </c>
      <c r="AA13" s="132">
        <f>$AC$8*Исх!L48</f>
        <v>8.2836</v>
      </c>
      <c r="AB13" s="132">
        <f>$AC$8*Исх!M48</f>
        <v>4.1418</v>
      </c>
      <c r="AC13" s="128">
        <f>SUM(Q13:AB13)</f>
        <v>121.00958999999999</v>
      </c>
      <c r="AD13" s="132">
        <f>$AP$8*Исх!B48</f>
        <v>7.9559999999999995</v>
      </c>
      <c r="AE13" s="132">
        <f>$AP$8*Исх!C48</f>
        <v>11.138399999999999</v>
      </c>
      <c r="AF13" s="132">
        <f>$AP$8*Исх!D48</f>
        <v>12.729599999999998</v>
      </c>
      <c r="AG13" s="132">
        <f>$AP$8*Исх!E48</f>
        <v>12.729599999999998</v>
      </c>
      <c r="AH13" s="132">
        <f>$AP$8*Исх!F48</f>
        <v>15.911999999999999</v>
      </c>
      <c r="AI13" s="132">
        <f>$AP$8*Исх!G48</f>
        <v>17.503199999999996</v>
      </c>
      <c r="AJ13" s="132">
        <f>$AP$8*Исх!H48</f>
        <v>19.094399999999997</v>
      </c>
      <c r="AK13" s="274">
        <f>$AP$8*Исх!I48*0.95</f>
        <v>18.139679999999995</v>
      </c>
      <c r="AL13" s="274">
        <f>$AP$8*Исх!J48*0.85</f>
        <v>13.525199999999998</v>
      </c>
      <c r="AM13" s="132">
        <f>$AP$8*Исх!K48</f>
        <v>12.729599999999998</v>
      </c>
      <c r="AN13" s="132">
        <f>$AP$8*Исх!L48</f>
        <v>9.547199999999998</v>
      </c>
      <c r="AO13" s="132">
        <f>$AP$8*Исх!M48</f>
        <v>4.773599999999999</v>
      </c>
      <c r="AP13" s="128">
        <f>SUM(AD13:AO13)</f>
        <v>155.77847999999997</v>
      </c>
      <c r="AQ13" s="132">
        <f aca="true" t="shared" si="5" ref="AQ13:AU14">AQ8</f>
        <v>177.84</v>
      </c>
      <c r="AR13" s="132">
        <f t="shared" si="5"/>
        <v>187.2</v>
      </c>
      <c r="AS13" s="132">
        <f t="shared" si="5"/>
        <v>187.2</v>
      </c>
      <c r="AT13" s="132">
        <f t="shared" si="5"/>
        <v>187.2</v>
      </c>
      <c r="AU13" s="132">
        <f t="shared" si="5"/>
        <v>187.2</v>
      </c>
      <c r="AV13" s="237"/>
    </row>
    <row r="14" spans="1:48" ht="15" customHeight="1">
      <c r="A14" s="239" t="str">
        <f>A9</f>
        <v>Краска фасадная</v>
      </c>
      <c r="B14" s="127">
        <f>P14+AC14+AP14+AQ14+AR14+AS14+AT14+AU14</f>
        <v>802.28538</v>
      </c>
      <c r="C14" s="298" t="str">
        <f>C9</f>
        <v>тыс.кг</v>
      </c>
      <c r="D14" s="132"/>
      <c r="E14" s="132"/>
      <c r="F14" s="132"/>
      <c r="G14" s="132"/>
      <c r="H14" s="132"/>
      <c r="I14" s="132"/>
      <c r="J14" s="132">
        <f>J9*Исх!H$48*0.5</f>
        <v>0</v>
      </c>
      <c r="K14" s="132">
        <f>K9*Исх!I$48</f>
        <v>0</v>
      </c>
      <c r="L14" s="132">
        <f>L9*Исх!J$48</f>
        <v>0</v>
      </c>
      <c r="M14" s="132">
        <f>M9*Исх!K$48</f>
        <v>0</v>
      </c>
      <c r="N14" s="132">
        <f>N9*Исх!L$48</f>
        <v>0</v>
      </c>
      <c r="O14" s="132"/>
      <c r="P14" s="128">
        <f>SUM(D14:O14)</f>
        <v>0</v>
      </c>
      <c r="Q14" s="132">
        <f>$AC$9*Исх!B48</f>
        <v>4.601999999999999</v>
      </c>
      <c r="R14" s="132">
        <f>$AC$9*Исх!C48</f>
        <v>6.4428</v>
      </c>
      <c r="S14" s="132">
        <f>$AC$9*Исх!D48</f>
        <v>7.363199999999999</v>
      </c>
      <c r="T14" s="132">
        <f>$AC$9*Исх!E48</f>
        <v>7.363199999999999</v>
      </c>
      <c r="U14" s="132">
        <f>$AC$9*Исх!F48</f>
        <v>9.203999999999999</v>
      </c>
      <c r="V14" s="274">
        <f>$AC$9*Исх!G48*0.75</f>
        <v>7.593299999999999</v>
      </c>
      <c r="W14" s="274">
        <f>$AC$9*Исх!H48*0.6</f>
        <v>6.626879999999999</v>
      </c>
      <c r="X14" s="274">
        <f>$AC$9*Исх!I48*0.6</f>
        <v>6.626879999999999</v>
      </c>
      <c r="Y14" s="132">
        <f>$AC$9*Исх!J48</f>
        <v>9.203999999999999</v>
      </c>
      <c r="Z14" s="132">
        <f>$AC$9*Исх!K48</f>
        <v>7.363199999999999</v>
      </c>
      <c r="AA14" s="132">
        <f>$AC$9*Исх!L48</f>
        <v>5.522399999999999</v>
      </c>
      <c r="AB14" s="132">
        <f>$AC$9*Исх!M48</f>
        <v>2.7611999999999997</v>
      </c>
      <c r="AC14" s="128">
        <f>SUM(Q14:AB14)</f>
        <v>80.67305999999999</v>
      </c>
      <c r="AD14" s="132">
        <f>$AP$9*Исх!B48</f>
        <v>5.304</v>
      </c>
      <c r="AE14" s="132">
        <f>$AP$9*Исх!C48</f>
        <v>7.4256</v>
      </c>
      <c r="AF14" s="132">
        <f>$AP$9*Исх!D48</f>
        <v>8.4864</v>
      </c>
      <c r="AG14" s="132">
        <f>$AP$9*Исх!E48</f>
        <v>8.4864</v>
      </c>
      <c r="AH14" s="132">
        <f>$AP$9*Исх!F48</f>
        <v>10.608</v>
      </c>
      <c r="AI14" s="132">
        <f>$AP$9*Исх!G48</f>
        <v>11.6688</v>
      </c>
      <c r="AJ14" s="132">
        <f>$AP$9*Исх!H48</f>
        <v>12.7296</v>
      </c>
      <c r="AK14" s="274">
        <f>$AP$9*Исх!I48*0.95</f>
        <v>12.093119999999999</v>
      </c>
      <c r="AL14" s="274">
        <f>$AP$9*Исх!J48*0.85</f>
        <v>9.0168</v>
      </c>
      <c r="AM14" s="132">
        <f>$AP$9*Исх!K48</f>
        <v>8.4864</v>
      </c>
      <c r="AN14" s="132">
        <f>$AP$9*Исх!L48</f>
        <v>6.3648</v>
      </c>
      <c r="AO14" s="132">
        <f>$AP$9*Исх!M48</f>
        <v>3.1824</v>
      </c>
      <c r="AP14" s="128">
        <f>SUM(AD14:AO14)</f>
        <v>103.85232</v>
      </c>
      <c r="AQ14" s="132">
        <f t="shared" si="5"/>
        <v>118.56</v>
      </c>
      <c r="AR14" s="132">
        <f t="shared" si="5"/>
        <v>124.80000000000001</v>
      </c>
      <c r="AS14" s="132">
        <f t="shared" si="5"/>
        <v>124.80000000000001</v>
      </c>
      <c r="AT14" s="132">
        <f t="shared" si="5"/>
        <v>124.80000000000001</v>
      </c>
      <c r="AU14" s="132">
        <f t="shared" si="5"/>
        <v>124.80000000000001</v>
      </c>
      <c r="AV14" s="237"/>
    </row>
    <row r="15" ht="12.75">
      <c r="C15" s="299"/>
    </row>
    <row r="16" spans="1:48" ht="12.75">
      <c r="A16" s="254" t="s">
        <v>234</v>
      </c>
      <c r="B16" s="127"/>
      <c r="C16" s="300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27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27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237"/>
    </row>
    <row r="17" spans="1:48" ht="15" customHeight="1">
      <c r="A17" s="239" t="str">
        <f>A12</f>
        <v>Краска акрилатная</v>
      </c>
      <c r="B17" s="127">
        <f>SUM(B18:B19)</f>
        <v>33.98655000000002</v>
      </c>
      <c r="C17" s="298">
        <f>C12</f>
        <v>0</v>
      </c>
      <c r="D17" s="127">
        <f aca="true" t="shared" si="6" ref="D17:AU17">SUM(D18:D19)</f>
        <v>0</v>
      </c>
      <c r="E17" s="127">
        <f t="shared" si="6"/>
        <v>0</v>
      </c>
      <c r="F17" s="127">
        <f t="shared" si="6"/>
        <v>0</v>
      </c>
      <c r="G17" s="127">
        <f t="shared" si="6"/>
        <v>0</v>
      </c>
      <c r="H17" s="127">
        <f t="shared" si="6"/>
        <v>0</v>
      </c>
      <c r="I17" s="127">
        <f t="shared" si="6"/>
        <v>0</v>
      </c>
      <c r="J17" s="127">
        <f t="shared" si="6"/>
        <v>0</v>
      </c>
      <c r="K17" s="127">
        <f t="shared" si="6"/>
        <v>0</v>
      </c>
      <c r="L17" s="127">
        <f t="shared" si="6"/>
        <v>0</v>
      </c>
      <c r="M17" s="127">
        <f t="shared" si="6"/>
        <v>0</v>
      </c>
      <c r="N17" s="127">
        <f t="shared" si="6"/>
        <v>0</v>
      </c>
      <c r="O17" s="127">
        <f t="shared" si="6"/>
        <v>0</v>
      </c>
      <c r="P17" s="127">
        <f t="shared" si="6"/>
        <v>0</v>
      </c>
      <c r="Q17" s="127">
        <f t="shared" si="6"/>
        <v>6.694999999999999</v>
      </c>
      <c r="R17" s="127">
        <f t="shared" si="6"/>
        <v>8.787999999999997</v>
      </c>
      <c r="S17" s="127">
        <f t="shared" si="6"/>
        <v>8.579999999999997</v>
      </c>
      <c r="T17" s="127">
        <f t="shared" si="6"/>
        <v>8.371999999999996</v>
      </c>
      <c r="U17" s="127">
        <f t="shared" si="6"/>
        <v>3.561999999999996</v>
      </c>
      <c r="V17" s="127">
        <f t="shared" si="6"/>
        <v>2.778749999999995</v>
      </c>
      <c r="W17" s="127">
        <f t="shared" si="6"/>
        <v>5.711549999999996</v>
      </c>
      <c r="X17" s="127">
        <f t="shared" si="6"/>
        <v>8.644349999999996</v>
      </c>
      <c r="Y17" s="127">
        <f t="shared" si="6"/>
        <v>5.134349999999996</v>
      </c>
      <c r="Z17" s="127">
        <f t="shared" si="6"/>
        <v>7.526349999999997</v>
      </c>
      <c r="AA17" s="127">
        <f t="shared" si="6"/>
        <v>14.520349999999997</v>
      </c>
      <c r="AB17" s="127">
        <f t="shared" si="6"/>
        <v>28.41735</v>
      </c>
      <c r="AC17" s="127">
        <f t="shared" si="6"/>
        <v>28.41735</v>
      </c>
      <c r="AD17" s="127">
        <f t="shared" si="6"/>
        <v>35.95735</v>
      </c>
      <c r="AE17" s="127">
        <f t="shared" si="6"/>
        <v>38.193349999999995</v>
      </c>
      <c r="AF17" s="127">
        <f t="shared" si="6"/>
        <v>37.77735</v>
      </c>
      <c r="AG17" s="127">
        <f t="shared" si="6"/>
        <v>37.36135</v>
      </c>
      <c r="AH17" s="127">
        <f t="shared" si="6"/>
        <v>31.641349999999996</v>
      </c>
      <c r="AI17" s="127">
        <f t="shared" si="6"/>
        <v>23.269350000000003</v>
      </c>
      <c r="AJ17" s="127">
        <f t="shared" si="6"/>
        <v>14.845350000000005</v>
      </c>
      <c r="AK17" s="127">
        <f t="shared" si="6"/>
        <v>8.01255000000001</v>
      </c>
      <c r="AL17" s="127">
        <f t="shared" si="6"/>
        <v>8.87055000000001</v>
      </c>
      <c r="AM17" s="127">
        <f t="shared" si="6"/>
        <v>11.054550000000011</v>
      </c>
      <c r="AN17" s="127">
        <f t="shared" si="6"/>
        <v>18.542550000000013</v>
      </c>
      <c r="AO17" s="127">
        <f t="shared" si="6"/>
        <v>33.986550000000015</v>
      </c>
      <c r="AP17" s="127">
        <f t="shared" si="6"/>
        <v>33.986550000000015</v>
      </c>
      <c r="AQ17" s="127">
        <f t="shared" si="6"/>
        <v>33.98655000000002</v>
      </c>
      <c r="AR17" s="127">
        <f t="shared" si="6"/>
        <v>33.98655000000002</v>
      </c>
      <c r="AS17" s="127">
        <f t="shared" si="6"/>
        <v>33.98655000000002</v>
      </c>
      <c r="AT17" s="127">
        <f t="shared" si="6"/>
        <v>33.98655000000002</v>
      </c>
      <c r="AU17" s="127">
        <f t="shared" si="6"/>
        <v>33.98655000000002</v>
      </c>
      <c r="AV17" s="237"/>
    </row>
    <row r="18" spans="1:48" ht="15" customHeight="1">
      <c r="A18" s="239" t="str">
        <f>A13</f>
        <v>Краска для внутренних работ</v>
      </c>
      <c r="B18" s="127">
        <f>AU18</f>
        <v>20.391930000000002</v>
      </c>
      <c r="C18" s="298" t="str">
        <f>C13</f>
        <v>тыс.кг</v>
      </c>
      <c r="D18" s="132"/>
      <c r="E18" s="132">
        <f aca="true" t="shared" si="7" ref="E18:K18">D18+E8-E13</f>
        <v>0</v>
      </c>
      <c r="F18" s="132">
        <f t="shared" si="7"/>
        <v>0</v>
      </c>
      <c r="G18" s="132">
        <f t="shared" si="7"/>
        <v>0</v>
      </c>
      <c r="H18" s="132">
        <f t="shared" si="7"/>
        <v>0</v>
      </c>
      <c r="I18" s="132">
        <f t="shared" si="7"/>
        <v>0</v>
      </c>
      <c r="J18" s="132">
        <f t="shared" si="7"/>
        <v>0</v>
      </c>
      <c r="K18" s="132">
        <f t="shared" si="7"/>
        <v>0</v>
      </c>
      <c r="L18" s="132">
        <f aca="true" t="shared" si="8" ref="L18:O19">K18+L8-L13</f>
        <v>0</v>
      </c>
      <c r="M18" s="132">
        <f t="shared" si="8"/>
        <v>0</v>
      </c>
      <c r="N18" s="132">
        <f t="shared" si="8"/>
        <v>0</v>
      </c>
      <c r="O18" s="132">
        <f t="shared" si="8"/>
        <v>0</v>
      </c>
      <c r="P18" s="128">
        <f>O18</f>
        <v>0</v>
      </c>
      <c r="Q18" s="132">
        <f aca="true" t="shared" si="9" ref="Q18:AB18">P18+Q8-Q13</f>
        <v>4.0169999999999995</v>
      </c>
      <c r="R18" s="132">
        <f t="shared" si="9"/>
        <v>5.272799999999998</v>
      </c>
      <c r="S18" s="132">
        <f t="shared" si="9"/>
        <v>5.147999999999998</v>
      </c>
      <c r="T18" s="132">
        <f t="shared" si="9"/>
        <v>5.0231999999999974</v>
      </c>
      <c r="U18" s="132">
        <f t="shared" si="9"/>
        <v>2.1371999999999964</v>
      </c>
      <c r="V18" s="132">
        <f t="shared" si="9"/>
        <v>1.6672499999999957</v>
      </c>
      <c r="W18" s="132">
        <f t="shared" si="9"/>
        <v>3.426929999999995</v>
      </c>
      <c r="X18" s="132">
        <f t="shared" si="9"/>
        <v>5.186609999999995</v>
      </c>
      <c r="Y18" s="132">
        <f t="shared" si="9"/>
        <v>3.080609999999993</v>
      </c>
      <c r="Z18" s="132">
        <f t="shared" si="9"/>
        <v>4.515809999999993</v>
      </c>
      <c r="AA18" s="132">
        <f t="shared" si="9"/>
        <v>8.712209999999992</v>
      </c>
      <c r="AB18" s="132">
        <f t="shared" si="9"/>
        <v>17.050409999999992</v>
      </c>
      <c r="AC18" s="128">
        <f>AB18</f>
        <v>17.050409999999992</v>
      </c>
      <c r="AD18" s="132">
        <f aca="true" t="shared" si="10" ref="AD18:AO18">AC18+AD8-AD13</f>
        <v>21.574409999999993</v>
      </c>
      <c r="AE18" s="132">
        <f t="shared" si="10"/>
        <v>22.916009999999993</v>
      </c>
      <c r="AF18" s="132">
        <f t="shared" si="10"/>
        <v>22.666409999999992</v>
      </c>
      <c r="AG18" s="132">
        <f t="shared" si="10"/>
        <v>22.41680999999999</v>
      </c>
      <c r="AH18" s="132">
        <f t="shared" si="10"/>
        <v>18.98480999999999</v>
      </c>
      <c r="AI18" s="132">
        <f t="shared" si="10"/>
        <v>13.961609999999993</v>
      </c>
      <c r="AJ18" s="132">
        <f t="shared" si="10"/>
        <v>8.907209999999996</v>
      </c>
      <c r="AK18" s="132">
        <f t="shared" si="10"/>
        <v>4.80753</v>
      </c>
      <c r="AL18" s="132">
        <f t="shared" si="10"/>
        <v>5.322330000000001</v>
      </c>
      <c r="AM18" s="132">
        <f t="shared" si="10"/>
        <v>6.632730000000002</v>
      </c>
      <c r="AN18" s="132">
        <f t="shared" si="10"/>
        <v>11.125530000000003</v>
      </c>
      <c r="AO18" s="132">
        <f t="shared" si="10"/>
        <v>20.391930000000006</v>
      </c>
      <c r="AP18" s="132">
        <f>AO18</f>
        <v>20.391930000000006</v>
      </c>
      <c r="AQ18" s="132">
        <f aca="true" t="shared" si="11" ref="AQ18:AU19">AP18+AQ8-AQ13</f>
        <v>20.391930000000002</v>
      </c>
      <c r="AR18" s="132">
        <f t="shared" si="11"/>
        <v>20.391930000000002</v>
      </c>
      <c r="AS18" s="132">
        <f t="shared" si="11"/>
        <v>20.391930000000002</v>
      </c>
      <c r="AT18" s="132">
        <f t="shared" si="11"/>
        <v>20.391930000000002</v>
      </c>
      <c r="AU18" s="132">
        <f t="shared" si="11"/>
        <v>20.391930000000002</v>
      </c>
      <c r="AV18" s="237"/>
    </row>
    <row r="19" spans="1:48" ht="15" customHeight="1">
      <c r="A19" s="239" t="str">
        <f>A14</f>
        <v>Краска фасадная</v>
      </c>
      <c r="B19" s="127">
        <f>AU19</f>
        <v>13.59462000000002</v>
      </c>
      <c r="C19" s="298" t="str">
        <f>C14</f>
        <v>тыс.кг</v>
      </c>
      <c r="D19" s="132"/>
      <c r="E19" s="132">
        <f aca="true" t="shared" si="12" ref="E19:K19">D19+E9-E14</f>
        <v>0</v>
      </c>
      <c r="F19" s="132">
        <f t="shared" si="12"/>
        <v>0</v>
      </c>
      <c r="G19" s="132">
        <f t="shared" si="12"/>
        <v>0</v>
      </c>
      <c r="H19" s="132">
        <f t="shared" si="12"/>
        <v>0</v>
      </c>
      <c r="I19" s="132">
        <f t="shared" si="12"/>
        <v>0</v>
      </c>
      <c r="J19" s="132">
        <f t="shared" si="12"/>
        <v>0</v>
      </c>
      <c r="K19" s="132">
        <f t="shared" si="12"/>
        <v>0</v>
      </c>
      <c r="L19" s="132">
        <f t="shared" si="8"/>
        <v>0</v>
      </c>
      <c r="M19" s="132">
        <f t="shared" si="8"/>
        <v>0</v>
      </c>
      <c r="N19" s="132">
        <f t="shared" si="8"/>
        <v>0</v>
      </c>
      <c r="O19" s="132">
        <f t="shared" si="8"/>
        <v>0</v>
      </c>
      <c r="P19" s="128">
        <f>O19</f>
        <v>0</v>
      </c>
      <c r="Q19" s="132">
        <f aca="true" t="shared" si="13" ref="Q19:AB19">P19+Q9-Q14</f>
        <v>2.678</v>
      </c>
      <c r="R19" s="132">
        <f t="shared" si="13"/>
        <v>3.5151999999999983</v>
      </c>
      <c r="S19" s="132">
        <f t="shared" si="13"/>
        <v>3.4319999999999986</v>
      </c>
      <c r="T19" s="132">
        <f t="shared" si="13"/>
        <v>3.348799999999999</v>
      </c>
      <c r="U19" s="132">
        <f t="shared" si="13"/>
        <v>1.4247999999999994</v>
      </c>
      <c r="V19" s="132">
        <f t="shared" si="13"/>
        <v>1.1114999999999995</v>
      </c>
      <c r="W19" s="132">
        <f t="shared" si="13"/>
        <v>2.284620000000001</v>
      </c>
      <c r="X19" s="132">
        <f t="shared" si="13"/>
        <v>3.457740000000002</v>
      </c>
      <c r="Y19" s="132">
        <f t="shared" si="13"/>
        <v>2.053740000000003</v>
      </c>
      <c r="Z19" s="132">
        <f t="shared" si="13"/>
        <v>3.010540000000004</v>
      </c>
      <c r="AA19" s="132">
        <f t="shared" si="13"/>
        <v>5.808140000000005</v>
      </c>
      <c r="AB19" s="132">
        <f t="shared" si="13"/>
        <v>11.366940000000007</v>
      </c>
      <c r="AC19" s="128">
        <f>AB19</f>
        <v>11.366940000000007</v>
      </c>
      <c r="AD19" s="132">
        <f aca="true" t="shared" si="14" ref="AD19:AO19">AC19+AD9-AD14</f>
        <v>14.382940000000007</v>
      </c>
      <c r="AE19" s="132">
        <f t="shared" si="14"/>
        <v>15.277340000000006</v>
      </c>
      <c r="AF19" s="132">
        <f t="shared" si="14"/>
        <v>15.110940000000006</v>
      </c>
      <c r="AG19" s="132">
        <f t="shared" si="14"/>
        <v>14.944540000000007</v>
      </c>
      <c r="AH19" s="132">
        <f t="shared" si="14"/>
        <v>12.656540000000007</v>
      </c>
      <c r="AI19" s="132">
        <f t="shared" si="14"/>
        <v>9.307740000000008</v>
      </c>
      <c r="AJ19" s="132">
        <f t="shared" si="14"/>
        <v>5.9381400000000095</v>
      </c>
      <c r="AK19" s="132">
        <f t="shared" si="14"/>
        <v>3.20502000000001</v>
      </c>
      <c r="AL19" s="132">
        <f t="shared" si="14"/>
        <v>3.5482200000000095</v>
      </c>
      <c r="AM19" s="132">
        <f t="shared" si="14"/>
        <v>4.421820000000009</v>
      </c>
      <c r="AN19" s="132">
        <f t="shared" si="14"/>
        <v>7.417020000000009</v>
      </c>
      <c r="AO19" s="132">
        <f t="shared" si="14"/>
        <v>13.594620000000008</v>
      </c>
      <c r="AP19" s="132">
        <f>AO19</f>
        <v>13.594620000000008</v>
      </c>
      <c r="AQ19" s="132">
        <f t="shared" si="11"/>
        <v>13.59462000000002</v>
      </c>
      <c r="AR19" s="132">
        <f t="shared" si="11"/>
        <v>13.59462000000002</v>
      </c>
      <c r="AS19" s="132">
        <f t="shared" si="11"/>
        <v>13.59462000000002</v>
      </c>
      <c r="AT19" s="132">
        <f t="shared" si="11"/>
        <v>13.59462000000002</v>
      </c>
      <c r="AU19" s="132">
        <f t="shared" si="11"/>
        <v>13.59462000000002</v>
      </c>
      <c r="AV19" s="237"/>
    </row>
    <row r="21" spans="1:13" ht="12.75">
      <c r="A21" s="258" t="s">
        <v>235</v>
      </c>
      <c r="B21" s="255">
        <f>B7-B12-B17</f>
        <v>-1.7053025658242404E-13</v>
      </c>
      <c r="M21" s="296"/>
    </row>
  </sheetData>
  <sheetProtection/>
  <mergeCells count="6">
    <mergeCell ref="A3:A4"/>
    <mergeCell ref="B3:B4"/>
    <mergeCell ref="D3:P3"/>
    <mergeCell ref="Q3:AC3"/>
    <mergeCell ref="AD3:AP3"/>
    <mergeCell ref="C3:C4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20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8.875" defaultRowHeight="12.75"/>
  <cols>
    <col min="1" max="1" width="50.625" style="78" customWidth="1"/>
    <col min="2" max="5" width="14.375" style="78" customWidth="1"/>
    <col min="6" max="6" width="10.75390625" style="78" customWidth="1"/>
    <col min="7" max="7" width="12.625" style="78" customWidth="1"/>
    <col min="8" max="8" width="11.625" style="78" customWidth="1"/>
    <col min="9" max="16384" width="8.875" style="78" customWidth="1"/>
  </cols>
  <sheetData>
    <row r="1" ht="12.75">
      <c r="A1" s="62" t="s">
        <v>195</v>
      </c>
    </row>
    <row r="2" ht="12.75">
      <c r="A2" s="62"/>
    </row>
    <row r="3" spans="1:5" ht="12.75">
      <c r="A3" s="297" t="s">
        <v>43</v>
      </c>
      <c r="B3" s="304"/>
      <c r="C3" s="314"/>
      <c r="E3" s="206" t="s">
        <v>170</v>
      </c>
    </row>
    <row r="4" spans="1:5" ht="12.75">
      <c r="A4" s="357" t="s">
        <v>203</v>
      </c>
      <c r="B4" s="368" t="str">
        <f>Дох!A6</f>
        <v>Краска для внутренних работ</v>
      </c>
      <c r="C4" s="369"/>
      <c r="D4" s="366" t="str">
        <f>Дох!A7</f>
        <v>Краска фасадная</v>
      </c>
      <c r="E4" s="367"/>
    </row>
    <row r="5" spans="1:5" ht="12.75">
      <c r="A5" s="358"/>
      <c r="B5" s="303" t="s">
        <v>343</v>
      </c>
      <c r="C5" s="303" t="s">
        <v>168</v>
      </c>
      <c r="D5" s="315" t="str">
        <f>B5</f>
        <v>Сумма</v>
      </c>
      <c r="E5" s="315" t="str">
        <f>C5</f>
        <v>Доля</v>
      </c>
    </row>
    <row r="6" spans="1:5" ht="12.75">
      <c r="A6" s="81" t="s">
        <v>334</v>
      </c>
      <c r="B6" s="234">
        <f>487.5/130*Исх!$C$7</f>
        <v>17.4</v>
      </c>
      <c r="C6" s="160">
        <f>B6/B$16</f>
        <v>0.27721539464589473</v>
      </c>
      <c r="D6" s="234">
        <f>780/130*Исх!$C$7</f>
        <v>27.839999999999996</v>
      </c>
      <c r="E6" s="160">
        <f>D6/D$16</f>
        <v>0.3613519547271689</v>
      </c>
    </row>
    <row r="7" spans="1:5" ht="12.75">
      <c r="A7" s="81" t="s">
        <v>335</v>
      </c>
      <c r="B7" s="234">
        <f>156/130*Исх!$C$7</f>
        <v>5.568</v>
      </c>
      <c r="C7" s="160">
        <f aca="true" t="shared" si="0" ref="C7:E14">B7/B$16</f>
        <v>0.08870892628668632</v>
      </c>
      <c r="D7" s="234">
        <f>156/130*Исх!$C$7</f>
        <v>5.568</v>
      </c>
      <c r="E7" s="160">
        <f t="shared" si="0"/>
        <v>0.07227039094543379</v>
      </c>
    </row>
    <row r="8" spans="1:5" ht="12.75">
      <c r="A8" s="81" t="s">
        <v>336</v>
      </c>
      <c r="B8" s="234">
        <f>144.5/130*Исх!$C$7</f>
        <v>5.157538461538461</v>
      </c>
      <c r="C8" s="160">
        <f t="shared" si="0"/>
        <v>0.08216948620786009</v>
      </c>
      <c r="D8" s="234">
        <f>144.5/130*Исх!$C$7</f>
        <v>5.157538461538461</v>
      </c>
      <c r="E8" s="160">
        <f t="shared" si="0"/>
        <v>0.06694276597189219</v>
      </c>
    </row>
    <row r="9" spans="1:5" ht="12.75">
      <c r="A9" s="81" t="s">
        <v>337</v>
      </c>
      <c r="B9" s="234">
        <f>412.5/130*Исх!$C$7</f>
        <v>14.72307692307692</v>
      </c>
      <c r="C9" s="160">
        <f t="shared" si="0"/>
        <v>0.23456687239268015</v>
      </c>
      <c r="D9" s="234">
        <f>520/130*Исх!$C$7</f>
        <v>18.56</v>
      </c>
      <c r="E9" s="160">
        <f t="shared" si="0"/>
        <v>0.24090130315144598</v>
      </c>
    </row>
    <row r="10" spans="1:5" ht="12.75">
      <c r="A10" s="81" t="s">
        <v>338</v>
      </c>
      <c r="B10" s="234">
        <f>2.8/130*Исх!$C$7</f>
        <v>0.09993846153846153</v>
      </c>
      <c r="C10" s="160">
        <f t="shared" si="0"/>
        <v>0.0015922114974533442</v>
      </c>
      <c r="D10" s="234">
        <f>2.8/130*Исх!$C$7</f>
        <v>0.09993846153846153</v>
      </c>
      <c r="E10" s="160">
        <f t="shared" si="0"/>
        <v>0.0012971608631231705</v>
      </c>
    </row>
    <row r="11" spans="1:5" ht="12.75">
      <c r="A11" s="81" t="s">
        <v>339</v>
      </c>
      <c r="B11" s="234">
        <f>11/130*Исх!$C$7</f>
        <v>0.3926153846153846</v>
      </c>
      <c r="C11" s="160">
        <f t="shared" si="0"/>
        <v>0.006255116597138137</v>
      </c>
      <c r="D11" s="234">
        <f>11/130*Исх!$C$7</f>
        <v>0.3926153846153846</v>
      </c>
      <c r="E11" s="160">
        <f t="shared" si="0"/>
        <v>0.005095989105126742</v>
      </c>
    </row>
    <row r="12" spans="1:5" ht="12.75">
      <c r="A12" s="81" t="s">
        <v>340</v>
      </c>
      <c r="B12" s="234">
        <f>18.15/130*Исх!$C$7</f>
        <v>0.6478153846153846</v>
      </c>
      <c r="C12" s="160">
        <f t="shared" si="0"/>
        <v>0.010320942385277927</v>
      </c>
      <c r="D12" s="234">
        <f>18.15/130*Исх!$C$7</f>
        <v>0.6478153846153846</v>
      </c>
      <c r="E12" s="160">
        <f t="shared" si="0"/>
        <v>0.008408382023459124</v>
      </c>
    </row>
    <row r="13" spans="1:5" ht="12.75">
      <c r="A13" s="81" t="s">
        <v>341</v>
      </c>
      <c r="B13" s="234">
        <f>21.8/130*Исх!$C$7</f>
        <v>0.7780923076923076</v>
      </c>
      <c r="C13" s="160">
        <f t="shared" si="0"/>
        <v>0.012396503801601037</v>
      </c>
      <c r="D13" s="234">
        <f>21.8/130*Исх!$C$7</f>
        <v>0.7780923076923076</v>
      </c>
      <c r="E13" s="160">
        <f t="shared" si="0"/>
        <v>0.010099323862887543</v>
      </c>
    </row>
    <row r="14" spans="1:5" ht="12.75">
      <c r="A14" s="81" t="s">
        <v>342</v>
      </c>
      <c r="B14" s="145">
        <v>18</v>
      </c>
      <c r="C14" s="160">
        <f t="shared" si="0"/>
        <v>0.2867745461854084</v>
      </c>
      <c r="D14" s="145">
        <v>18</v>
      </c>
      <c r="E14" s="160">
        <f t="shared" si="0"/>
        <v>0.2336327293494627</v>
      </c>
    </row>
    <row r="15" spans="1:5" ht="12.75">
      <c r="A15" s="81"/>
      <c r="B15" s="146"/>
      <c r="C15" s="146"/>
      <c r="D15" s="248"/>
      <c r="E15" s="146"/>
    </row>
    <row r="16" spans="1:6" ht="12.75">
      <c r="A16" s="156" t="s">
        <v>0</v>
      </c>
      <c r="B16" s="244">
        <f>SUM(B6:B15)</f>
        <v>62.767076923076914</v>
      </c>
      <c r="C16" s="316">
        <f>SUM(C6:C15)</f>
        <v>1.0000000000000002</v>
      </c>
      <c r="D16" s="244">
        <f>SUM(D6:D15)</f>
        <v>77.04399999999998</v>
      </c>
      <c r="E16" s="316">
        <f>SUM(E6:E15)</f>
        <v>1.0000000000000002</v>
      </c>
      <c r="F16" s="148"/>
    </row>
    <row r="17" spans="1:5" s="148" customFormat="1" ht="12.75">
      <c r="A17" s="148" t="s">
        <v>240</v>
      </c>
      <c r="B17" s="260">
        <f>('2-ф2'!$B$11+'2-ф2'!$B$12+'2-ф2'!$B$13)*'Расх перем'!B18</f>
        <v>55004.508052072466</v>
      </c>
      <c r="C17" s="260"/>
      <c r="D17" s="260">
        <f>('2-ф2'!$B$11+'2-ф2'!$B$12+'2-ф2'!$B$13)*'Расх перем'!D18</f>
        <v>43217.82775519981</v>
      </c>
      <c r="E17" s="260"/>
    </row>
    <row r="18" spans="1:5" s="148" customFormat="1" ht="12.75">
      <c r="A18" s="148" t="s">
        <v>237</v>
      </c>
      <c r="B18" s="259">
        <f>'2-ф2'!$B$6/'2-ф2'!$B$5</f>
        <v>0.5599999999999999</v>
      </c>
      <c r="C18" s="259"/>
      <c r="D18" s="259">
        <f>'2-ф2'!$B$7/'2-ф2'!$B$5</f>
        <v>0.44000000000000006</v>
      </c>
      <c r="E18" s="259"/>
    </row>
    <row r="19" spans="1:5" s="148" customFormat="1" ht="12.75">
      <c r="A19" s="148" t="s">
        <v>239</v>
      </c>
      <c r="B19" s="260">
        <f>B17/Производство!$B$13</f>
        <v>45.70651908765304</v>
      </c>
      <c r="C19" s="260"/>
      <c r="D19" s="260">
        <f>D17/Производство!$B$14</f>
        <v>53.86839749616254</v>
      </c>
      <c r="E19" s="260"/>
    </row>
    <row r="20" spans="1:5" s="148" customFormat="1" ht="12.75">
      <c r="A20" s="261" t="s">
        <v>238</v>
      </c>
      <c r="B20" s="262">
        <f>B16+B19</f>
        <v>108.47359601072995</v>
      </c>
      <c r="C20" s="262"/>
      <c r="D20" s="262">
        <f>D16+D19</f>
        <v>130.91239749616253</v>
      </c>
      <c r="E20" s="262"/>
    </row>
    <row r="21" s="148" customFormat="1" ht="12.75"/>
  </sheetData>
  <sheetProtection/>
  <mergeCells count="3">
    <mergeCell ref="A4:A5"/>
    <mergeCell ref="D4:E4"/>
    <mergeCell ref="B4:C4"/>
  </mergeCells>
  <printOptions/>
  <pageMargins left="0.34" right="0.43" top="0.45" bottom="0.38" header="0.2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M30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18" sqref="D18"/>
    </sheetView>
  </sheetViews>
  <sheetFormatPr defaultColWidth="9.00390625" defaultRowHeight="12.75"/>
  <cols>
    <col min="1" max="1" width="5.625" style="78" customWidth="1"/>
    <col min="2" max="2" width="33.375" style="78" customWidth="1"/>
    <col min="3" max="3" width="10.00390625" style="78" customWidth="1"/>
    <col min="4" max="4" width="11.625" style="78" customWidth="1"/>
    <col min="5" max="5" width="12.75390625" style="78" customWidth="1"/>
    <col min="6" max="9" width="11.625" style="78" customWidth="1"/>
    <col min="10" max="10" width="10.125" style="78" customWidth="1"/>
    <col min="11" max="11" width="12.00390625" style="78" customWidth="1"/>
    <col min="12" max="16384" width="9.125" style="78" customWidth="1"/>
  </cols>
  <sheetData>
    <row r="1" ht="5.25" customHeight="1"/>
    <row r="2" spans="1:13" ht="16.5" customHeight="1">
      <c r="A2" s="62" t="s">
        <v>143</v>
      </c>
      <c r="D2" s="166"/>
      <c r="E2" s="166"/>
      <c r="F2" s="166"/>
      <c r="G2" s="166"/>
      <c r="H2" s="166"/>
      <c r="I2" s="166"/>
      <c r="J2" s="166"/>
      <c r="K2" s="147" t="str">
        <f>Исх!C10</f>
        <v>тыс.тг.</v>
      </c>
      <c r="M2" s="247">
        <f>'1-Ф3'!$B$2</f>
        <v>-0.36300308117168356</v>
      </c>
    </row>
    <row r="3" spans="1:11" ht="8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42" customHeight="1">
      <c r="A4" s="150" t="s">
        <v>36</v>
      </c>
      <c r="B4" s="151" t="s">
        <v>37</v>
      </c>
      <c r="C4" s="219" t="s">
        <v>38</v>
      </c>
      <c r="D4" s="152" t="s">
        <v>96</v>
      </c>
      <c r="E4" s="152" t="s">
        <v>97</v>
      </c>
      <c r="F4" s="152" t="s">
        <v>47</v>
      </c>
      <c r="G4" s="152" t="s">
        <v>48</v>
      </c>
      <c r="H4" s="152" t="s">
        <v>49</v>
      </c>
      <c r="I4" s="152" t="s">
        <v>50</v>
      </c>
      <c r="J4" s="152" t="s">
        <v>51</v>
      </c>
      <c r="K4" s="152" t="s">
        <v>45</v>
      </c>
    </row>
    <row r="5" spans="1:11" s="62" customFormat="1" ht="12.75">
      <c r="A5" s="143"/>
      <c r="B5" s="153" t="s">
        <v>95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2.75">
      <c r="A6" s="81">
        <v>1</v>
      </c>
      <c r="B6" s="81" t="s">
        <v>244</v>
      </c>
      <c r="C6" s="81">
        <v>1</v>
      </c>
      <c r="D6" s="145">
        <v>110</v>
      </c>
      <c r="E6" s="154">
        <f>C6*D6</f>
        <v>110</v>
      </c>
      <c r="F6" s="154">
        <f>E6*$C$24</f>
        <v>11</v>
      </c>
      <c r="G6" s="154">
        <f>(E6-$C$28-F6)*$C$26</f>
        <v>8.034</v>
      </c>
      <c r="H6" s="154">
        <f>(E6-F6)*$C$25</f>
        <v>4.95</v>
      </c>
      <c r="I6" s="154">
        <f>(E6-F6)*$C$27-H6</f>
        <v>5.94</v>
      </c>
      <c r="J6" s="154">
        <f>E6-F6-G6</f>
        <v>90.966</v>
      </c>
      <c r="K6" s="155">
        <f>SUM(F6:J6)</f>
        <v>120.88999999999999</v>
      </c>
    </row>
    <row r="7" spans="1:11" ht="12.75">
      <c r="A7" s="81">
        <v>2</v>
      </c>
      <c r="B7" s="81" t="s">
        <v>264</v>
      </c>
      <c r="C7" s="317">
        <v>1</v>
      </c>
      <c r="D7" s="145">
        <v>100</v>
      </c>
      <c r="E7" s="154">
        <f>C7*D7</f>
        <v>100</v>
      </c>
      <c r="F7" s="154">
        <f>E7*$C$24</f>
        <v>10</v>
      </c>
      <c r="G7" s="154">
        <f>(E7-$C$28-F7)*$C$26</f>
        <v>7.134</v>
      </c>
      <c r="H7" s="154">
        <f>(E7-F7)*$C$25</f>
        <v>4.5</v>
      </c>
      <c r="I7" s="154">
        <f>(E7-F7)*$C$27-H7</f>
        <v>5.4</v>
      </c>
      <c r="J7" s="154">
        <f>E7-F7-G7</f>
        <v>82.866</v>
      </c>
      <c r="K7" s="155">
        <f>SUM(F7:J7)</f>
        <v>109.9</v>
      </c>
    </row>
    <row r="8" spans="1:11" s="62" customFormat="1" ht="12.75">
      <c r="A8" s="156"/>
      <c r="B8" s="156" t="s">
        <v>0</v>
      </c>
      <c r="C8" s="31">
        <f aca="true" t="shared" si="0" ref="C8:K8">SUM(C6:C7)</f>
        <v>2</v>
      </c>
      <c r="D8" s="31">
        <f t="shared" si="0"/>
        <v>210</v>
      </c>
      <c r="E8" s="31">
        <f t="shared" si="0"/>
        <v>210</v>
      </c>
      <c r="F8" s="31">
        <f t="shared" si="0"/>
        <v>21</v>
      </c>
      <c r="G8" s="31">
        <f t="shared" si="0"/>
        <v>15.168000000000001</v>
      </c>
      <c r="H8" s="31">
        <f t="shared" si="0"/>
        <v>9.45</v>
      </c>
      <c r="I8" s="31">
        <f t="shared" si="0"/>
        <v>11.34</v>
      </c>
      <c r="J8" s="31">
        <f t="shared" si="0"/>
        <v>173.832</v>
      </c>
      <c r="K8" s="31">
        <f t="shared" si="0"/>
        <v>230.79</v>
      </c>
    </row>
    <row r="9" spans="1:12" s="62" customFormat="1" ht="12.75">
      <c r="A9" s="143"/>
      <c r="B9" s="143" t="s">
        <v>323</v>
      </c>
      <c r="C9" s="143"/>
      <c r="D9" s="144"/>
      <c r="E9" s="144"/>
      <c r="F9" s="144"/>
      <c r="G9" s="144"/>
      <c r="H9" s="144"/>
      <c r="I9" s="144"/>
      <c r="J9" s="144"/>
      <c r="K9" s="144"/>
      <c r="L9" s="78"/>
    </row>
    <row r="10" spans="1:11" ht="12.75">
      <c r="A10" s="81">
        <v>1</v>
      </c>
      <c r="B10" s="81" t="s">
        <v>236</v>
      </c>
      <c r="C10" s="145">
        <v>2</v>
      </c>
      <c r="D10" s="145">
        <v>75</v>
      </c>
      <c r="E10" s="154">
        <f>C10*D10</f>
        <v>150</v>
      </c>
      <c r="F10" s="154">
        <f>E10*$C$24</f>
        <v>15</v>
      </c>
      <c r="G10" s="154">
        <f>(E10-$C$28-F10)*$C$26</f>
        <v>11.634</v>
      </c>
      <c r="H10" s="154">
        <f>(E10-F10)*$C$25</f>
        <v>6.75</v>
      </c>
      <c r="I10" s="154">
        <f>(E10-F10)*$C$27-H10</f>
        <v>8.1</v>
      </c>
      <c r="J10" s="154">
        <f>E10-F10-G10</f>
        <v>123.366</v>
      </c>
      <c r="K10" s="155">
        <f>SUM(F10:J10)</f>
        <v>164.85</v>
      </c>
    </row>
    <row r="11" spans="1:11" ht="12.75">
      <c r="A11" s="81">
        <v>2</v>
      </c>
      <c r="B11" s="81" t="s">
        <v>263</v>
      </c>
      <c r="C11" s="145">
        <v>1</v>
      </c>
      <c r="D11" s="145">
        <v>70</v>
      </c>
      <c r="E11" s="154">
        <f>C11*D11</f>
        <v>70</v>
      </c>
      <c r="F11" s="154">
        <f>E11*$C$24</f>
        <v>7</v>
      </c>
      <c r="G11" s="154">
        <f>(E11-$C$28-F11)*$C$26</f>
        <v>4.434</v>
      </c>
      <c r="H11" s="154">
        <f>(E11-F11)*$C$25</f>
        <v>3.1500000000000004</v>
      </c>
      <c r="I11" s="154">
        <f>(E11-F11)*$C$27-H11</f>
        <v>3.7799999999999994</v>
      </c>
      <c r="J11" s="154">
        <f>E11-F11-G11</f>
        <v>58.566</v>
      </c>
      <c r="K11" s="155">
        <f>SUM(F11:J11)</f>
        <v>76.93</v>
      </c>
    </row>
    <row r="12" spans="1:11" s="62" customFormat="1" ht="12.75">
      <c r="A12" s="156"/>
      <c r="B12" s="157" t="s">
        <v>0</v>
      </c>
      <c r="C12" s="269">
        <f aca="true" t="shared" si="1" ref="C12:K12">SUM(C9:C11)</f>
        <v>3</v>
      </c>
      <c r="D12" s="155">
        <f t="shared" si="1"/>
        <v>145</v>
      </c>
      <c r="E12" s="155">
        <f t="shared" si="1"/>
        <v>220</v>
      </c>
      <c r="F12" s="155">
        <f t="shared" si="1"/>
        <v>22</v>
      </c>
      <c r="G12" s="155">
        <f t="shared" si="1"/>
        <v>16.068</v>
      </c>
      <c r="H12" s="155">
        <f t="shared" si="1"/>
        <v>9.9</v>
      </c>
      <c r="I12" s="155">
        <f t="shared" si="1"/>
        <v>11.879999999999999</v>
      </c>
      <c r="J12" s="155">
        <f t="shared" si="1"/>
        <v>181.93200000000002</v>
      </c>
      <c r="K12" s="155">
        <f t="shared" si="1"/>
        <v>241.78</v>
      </c>
    </row>
    <row r="13" spans="1:11" s="62" customFormat="1" ht="12.75" hidden="1">
      <c r="A13" s="143"/>
      <c r="B13" s="143" t="s">
        <v>308</v>
      </c>
      <c r="C13" s="143"/>
      <c r="D13" s="144"/>
      <c r="E13" s="144"/>
      <c r="F13" s="144"/>
      <c r="G13" s="144"/>
      <c r="H13" s="144"/>
      <c r="I13" s="144"/>
      <c r="J13" s="144"/>
      <c r="K13" s="144"/>
    </row>
    <row r="14" spans="1:11" ht="12.75" hidden="1">
      <c r="A14" s="81"/>
      <c r="B14" s="81"/>
      <c r="C14" s="81"/>
      <c r="D14" s="145"/>
      <c r="E14" s="154">
        <f>C14*D14</f>
        <v>0</v>
      </c>
      <c r="F14" s="154">
        <f>E14*$C$24</f>
        <v>0</v>
      </c>
      <c r="G14" s="154">
        <f>(E14-$C$28-F14)*$C$26*0</f>
        <v>0</v>
      </c>
      <c r="H14" s="154">
        <f>(E14-F14)*$C$25</f>
        <v>0</v>
      </c>
      <c r="I14" s="154">
        <f>(E14-F14)*$C$27-H14</f>
        <v>0</v>
      </c>
      <c r="J14" s="154">
        <f>E14-F14-G14</f>
        <v>0</v>
      </c>
      <c r="K14" s="155">
        <f>SUM(F14:J14)</f>
        <v>0</v>
      </c>
    </row>
    <row r="15" spans="1:11" ht="12.75" hidden="1">
      <c r="A15" s="81"/>
      <c r="B15" s="81"/>
      <c r="C15" s="81"/>
      <c r="D15" s="145"/>
      <c r="E15" s="154">
        <f>C15*D15</f>
        <v>0</v>
      </c>
      <c r="F15" s="154">
        <f>E15*$C$24</f>
        <v>0</v>
      </c>
      <c r="G15" s="154">
        <f>(E15-$C$28-F15)*$C$26*0</f>
        <v>0</v>
      </c>
      <c r="H15" s="154">
        <f>(E15-F15)*$C$25</f>
        <v>0</v>
      </c>
      <c r="I15" s="154">
        <f>(E15-F15)*$C$27-H15</f>
        <v>0</v>
      </c>
      <c r="J15" s="154">
        <f>E15-F15-G15</f>
        <v>0</v>
      </c>
      <c r="K15" s="155">
        <f>SUM(F15:J15)</f>
        <v>0</v>
      </c>
    </row>
    <row r="16" spans="1:11" s="62" customFormat="1" ht="12.75" hidden="1">
      <c r="A16" s="156"/>
      <c r="B16" s="157" t="s">
        <v>0</v>
      </c>
      <c r="C16" s="156">
        <f aca="true" t="shared" si="2" ref="C16:K16">SUM(C14:C15)</f>
        <v>0</v>
      </c>
      <c r="D16" s="155">
        <f t="shared" si="2"/>
        <v>0</v>
      </c>
      <c r="E16" s="155">
        <f t="shared" si="2"/>
        <v>0</v>
      </c>
      <c r="F16" s="155">
        <f t="shared" si="2"/>
        <v>0</v>
      </c>
      <c r="G16" s="155">
        <f t="shared" si="2"/>
        <v>0</v>
      </c>
      <c r="H16" s="155">
        <f t="shared" si="2"/>
        <v>0</v>
      </c>
      <c r="I16" s="155">
        <f t="shared" si="2"/>
        <v>0</v>
      </c>
      <c r="J16" s="155">
        <f t="shared" si="2"/>
        <v>0</v>
      </c>
      <c r="K16" s="155">
        <f t="shared" si="2"/>
        <v>0</v>
      </c>
    </row>
    <row r="17" spans="1:11" s="62" customFormat="1" ht="12.75">
      <c r="A17" s="143"/>
      <c r="B17" s="143" t="s">
        <v>107</v>
      </c>
      <c r="C17" s="143"/>
      <c r="D17" s="144"/>
      <c r="E17" s="144"/>
      <c r="F17" s="144"/>
      <c r="G17" s="144"/>
      <c r="H17" s="144"/>
      <c r="I17" s="144"/>
      <c r="J17" s="144"/>
      <c r="K17" s="144"/>
    </row>
    <row r="18" spans="1:13" ht="12.75">
      <c r="A18" s="81">
        <v>1</v>
      </c>
      <c r="B18" s="81" t="s">
        <v>266</v>
      </c>
      <c r="C18" s="81">
        <v>1</v>
      </c>
      <c r="D18" s="145">
        <v>90</v>
      </c>
      <c r="E18" s="154">
        <f>C18*D18</f>
        <v>90</v>
      </c>
      <c r="F18" s="154">
        <f>E18*$C$24</f>
        <v>9</v>
      </c>
      <c r="G18" s="154">
        <f>(E18-$C$28-F18)*$C$26</f>
        <v>6.234000000000001</v>
      </c>
      <c r="H18" s="154">
        <f>(E18-F18)*$C$25</f>
        <v>4.05</v>
      </c>
      <c r="I18" s="154">
        <f>(E18-F18)*$C$27-H18</f>
        <v>4.86</v>
      </c>
      <c r="J18" s="154">
        <f>E18-F18-G18</f>
        <v>74.766</v>
      </c>
      <c r="K18" s="155">
        <f>SUM(F18:J18)</f>
        <v>98.91000000000001</v>
      </c>
      <c r="M18" s="158"/>
    </row>
    <row r="19" spans="1:11" ht="12.75" hidden="1">
      <c r="A19" s="81"/>
      <c r="B19" s="81"/>
      <c r="C19" s="81"/>
      <c r="D19" s="145"/>
      <c r="E19" s="154">
        <f>C19*D19</f>
        <v>0</v>
      </c>
      <c r="F19" s="154">
        <f>E19*$C$24</f>
        <v>0</v>
      </c>
      <c r="G19" s="154">
        <f>(E19-$C$28-F19)*$C$26*0</f>
        <v>0</v>
      </c>
      <c r="H19" s="154">
        <f>(E19-F19)*$C$25</f>
        <v>0</v>
      </c>
      <c r="I19" s="154">
        <f>(E19-F19)*$C$27-H19</f>
        <v>0</v>
      </c>
      <c r="J19" s="154">
        <f>E19-F19-G19</f>
        <v>0</v>
      </c>
      <c r="K19" s="155">
        <f>SUM(F19:J19)</f>
        <v>0</v>
      </c>
    </row>
    <row r="20" spans="1:11" s="62" customFormat="1" ht="12.75">
      <c r="A20" s="156"/>
      <c r="B20" s="157" t="s">
        <v>0</v>
      </c>
      <c r="C20" s="156">
        <f aca="true" t="shared" si="3" ref="C20:K20">SUM(C18:C19)</f>
        <v>1</v>
      </c>
      <c r="D20" s="155">
        <f t="shared" si="3"/>
        <v>90</v>
      </c>
      <c r="E20" s="155">
        <f t="shared" si="3"/>
        <v>90</v>
      </c>
      <c r="F20" s="155">
        <f t="shared" si="3"/>
        <v>9</v>
      </c>
      <c r="G20" s="155">
        <f t="shared" si="3"/>
        <v>6.234000000000001</v>
      </c>
      <c r="H20" s="155">
        <f t="shared" si="3"/>
        <v>4.05</v>
      </c>
      <c r="I20" s="155">
        <f t="shared" si="3"/>
        <v>4.86</v>
      </c>
      <c r="J20" s="155">
        <f t="shared" si="3"/>
        <v>74.766</v>
      </c>
      <c r="K20" s="155">
        <f t="shared" si="3"/>
        <v>98.91000000000001</v>
      </c>
    </row>
    <row r="21" spans="1:11" ht="12.75">
      <c r="A21" s="81"/>
      <c r="B21" s="81"/>
      <c r="C21" s="81"/>
      <c r="D21" s="154"/>
      <c r="E21" s="154"/>
      <c r="F21" s="154"/>
      <c r="G21" s="154"/>
      <c r="H21" s="154"/>
      <c r="I21" s="154"/>
      <c r="J21" s="154"/>
      <c r="K21" s="154"/>
    </row>
    <row r="22" spans="1:13" s="62" customFormat="1" ht="12.75">
      <c r="A22" s="156"/>
      <c r="B22" s="156" t="s">
        <v>108</v>
      </c>
      <c r="C22" s="155">
        <f aca="true" t="shared" si="4" ref="C22:K22">C8+C12+C16+C20</f>
        <v>6</v>
      </c>
      <c r="D22" s="155">
        <f t="shared" si="4"/>
        <v>445</v>
      </c>
      <c r="E22" s="155">
        <f t="shared" si="4"/>
        <v>520</v>
      </c>
      <c r="F22" s="155">
        <f t="shared" si="4"/>
        <v>52</v>
      </c>
      <c r="G22" s="155">
        <f t="shared" si="4"/>
        <v>37.470000000000006</v>
      </c>
      <c r="H22" s="155">
        <f t="shared" si="4"/>
        <v>23.400000000000002</v>
      </c>
      <c r="I22" s="155">
        <f t="shared" si="4"/>
        <v>28.08</v>
      </c>
      <c r="J22" s="155">
        <f t="shared" si="4"/>
        <v>430.53000000000003</v>
      </c>
      <c r="K22" s="159">
        <f t="shared" si="4"/>
        <v>571.48</v>
      </c>
      <c r="M22" s="247"/>
    </row>
    <row r="24" spans="2:10" ht="12.75" hidden="1">
      <c r="B24" s="81" t="s">
        <v>47</v>
      </c>
      <c r="C24" s="160">
        <f>Исх!C12</f>
        <v>0.1</v>
      </c>
      <c r="D24" s="161"/>
      <c r="E24" s="161"/>
      <c r="F24" s="161"/>
      <c r="G24" s="370"/>
      <c r="H24" s="370"/>
      <c r="I24" s="370"/>
      <c r="J24" s="370"/>
    </row>
    <row r="25" spans="2:10" ht="12.75" hidden="1">
      <c r="B25" s="81" t="s">
        <v>52</v>
      </c>
      <c r="C25" s="160">
        <f>Исх!C13</f>
        <v>0.05</v>
      </c>
      <c r="D25" s="161"/>
      <c r="E25" s="161"/>
      <c r="F25" s="161"/>
      <c r="G25" s="161"/>
      <c r="H25" s="161"/>
      <c r="I25" s="162"/>
      <c r="J25" s="163"/>
    </row>
    <row r="26" spans="2:10" ht="12.75" hidden="1">
      <c r="B26" s="81" t="s">
        <v>48</v>
      </c>
      <c r="C26" s="160">
        <f>Исх!C14</f>
        <v>0.1</v>
      </c>
      <c r="D26" s="161"/>
      <c r="E26" s="161"/>
      <c r="F26" s="161"/>
      <c r="G26" s="161"/>
      <c r="H26" s="161"/>
      <c r="I26" s="162"/>
      <c r="J26" s="163"/>
    </row>
    <row r="27" spans="2:10" ht="12.75" hidden="1">
      <c r="B27" s="81" t="s">
        <v>50</v>
      </c>
      <c r="C27" s="160">
        <f>Исх!C15</f>
        <v>0.11</v>
      </c>
      <c r="D27" s="164"/>
      <c r="E27" s="164"/>
      <c r="F27" s="161"/>
      <c r="G27" s="161"/>
      <c r="H27" s="161"/>
      <c r="I27" s="162"/>
      <c r="J27" s="163"/>
    </row>
    <row r="28" spans="2:3" ht="12.75" hidden="1">
      <c r="B28" s="81" t="s">
        <v>112</v>
      </c>
      <c r="C28" s="165">
        <f>Исх!C16</f>
        <v>18.66</v>
      </c>
    </row>
    <row r="29" spans="7:10" ht="12.75">
      <c r="G29" s="161"/>
      <c r="H29" s="161"/>
      <c r="I29" s="162"/>
      <c r="J29" s="163"/>
    </row>
    <row r="30" ht="12.75">
      <c r="C30" s="201"/>
    </row>
  </sheetData>
  <sheetProtection/>
  <mergeCells count="1">
    <mergeCell ref="G24:J24"/>
  </mergeCells>
  <printOptions/>
  <pageMargins left="0.2755905511811024" right="0.2755905511811024" top="0.5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X50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C22" sqref="C22"/>
    </sheetView>
  </sheetViews>
  <sheetFormatPr defaultColWidth="8.875" defaultRowHeight="12.75" outlineLevelRow="1"/>
  <cols>
    <col min="1" max="1" width="33.625" style="78" customWidth="1"/>
    <col min="2" max="2" width="5.125" style="78" customWidth="1"/>
    <col min="3" max="3" width="9.125" style="78" customWidth="1"/>
    <col min="4" max="9" width="7.625" style="78" bestFit="1" customWidth="1"/>
    <col min="10" max="10" width="7.25390625" style="78" customWidth="1"/>
    <col min="11" max="11" width="34.00390625" style="78" customWidth="1"/>
    <col min="12" max="12" width="8.75390625" style="78" customWidth="1"/>
    <col min="13" max="13" width="36.625" style="78" customWidth="1"/>
    <col min="14" max="14" width="5.25390625" style="78" bestFit="1" customWidth="1"/>
    <col min="15" max="22" width="8.25390625" style="78" customWidth="1"/>
    <col min="23" max="16384" width="8.875" style="78" customWidth="1"/>
  </cols>
  <sheetData>
    <row r="1" spans="1:23" ht="12.75">
      <c r="A1" s="62" t="s">
        <v>147</v>
      </c>
      <c r="M1" s="62" t="s">
        <v>256</v>
      </c>
      <c r="W1" s="62"/>
    </row>
    <row r="2" spans="1:23" ht="12.75">
      <c r="A2" s="62"/>
      <c r="B2" s="62"/>
      <c r="C2" s="78" t="s">
        <v>291</v>
      </c>
      <c r="E2" s="294">
        <v>0.05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3:20" ht="12.75">
      <c r="C3" s="140"/>
      <c r="D3" s="140"/>
      <c r="E3" s="140"/>
      <c r="F3" s="140"/>
      <c r="G3" s="140"/>
      <c r="H3" s="140"/>
      <c r="J3" s="147" t="str">
        <f>Исх!C10</f>
        <v>тыс.тг.</v>
      </c>
      <c r="O3" s="140"/>
      <c r="P3" s="140"/>
      <c r="Q3" s="140"/>
      <c r="R3" s="140"/>
      <c r="S3" s="140"/>
      <c r="T3" s="140"/>
    </row>
    <row r="4" spans="1:23" ht="12.75">
      <c r="A4" s="217" t="s">
        <v>44</v>
      </c>
      <c r="B4" s="233"/>
      <c r="C4" s="233" t="s">
        <v>8</v>
      </c>
      <c r="D4" s="233">
        <v>2014</v>
      </c>
      <c r="E4" s="233">
        <f aca="true" t="shared" si="0" ref="E4:J4">D4+1</f>
        <v>2015</v>
      </c>
      <c r="F4" s="233">
        <f t="shared" si="0"/>
        <v>2016</v>
      </c>
      <c r="G4" s="233">
        <f t="shared" si="0"/>
        <v>2017</v>
      </c>
      <c r="H4" s="233">
        <f t="shared" si="0"/>
        <v>2018</v>
      </c>
      <c r="I4" s="233">
        <f t="shared" si="0"/>
        <v>2019</v>
      </c>
      <c r="J4" s="233">
        <f t="shared" si="0"/>
        <v>2020</v>
      </c>
      <c r="K4" s="233" t="s">
        <v>206</v>
      </c>
      <c r="M4" s="217" t="str">
        <f aca="true" t="shared" si="1" ref="M4:M16">A4</f>
        <v>Затраты</v>
      </c>
      <c r="N4" s="233"/>
      <c r="O4" s="233" t="str">
        <f aca="true" t="shared" si="2" ref="O4:V4">C4</f>
        <v>Значение</v>
      </c>
      <c r="P4" s="233">
        <f t="shared" si="2"/>
        <v>2014</v>
      </c>
      <c r="Q4" s="233">
        <f t="shared" si="2"/>
        <v>2015</v>
      </c>
      <c r="R4" s="233">
        <f t="shared" si="2"/>
        <v>2016</v>
      </c>
      <c r="S4" s="233">
        <f t="shared" si="2"/>
        <v>2017</v>
      </c>
      <c r="T4" s="233">
        <f t="shared" si="2"/>
        <v>2018</v>
      </c>
      <c r="U4" s="233">
        <f t="shared" si="2"/>
        <v>2019</v>
      </c>
      <c r="V4" s="233">
        <f t="shared" si="2"/>
        <v>2020</v>
      </c>
      <c r="W4" s="247"/>
    </row>
    <row r="5" spans="1:22" ht="12.75">
      <c r="A5" s="81" t="s">
        <v>45</v>
      </c>
      <c r="B5" s="146"/>
      <c r="C5" s="154">
        <f>ФОТ!$K$22</f>
        <v>571.48</v>
      </c>
      <c r="D5" s="154">
        <f>ФОТ!$K$22</f>
        <v>571.48</v>
      </c>
      <c r="E5" s="154">
        <f aca="true" t="shared" si="3" ref="E5:E15">D5+D5*$E$2</f>
        <v>600.054</v>
      </c>
      <c r="F5" s="154">
        <f>E5+E5*$E$2</f>
        <v>630.0567</v>
      </c>
      <c r="G5" s="154">
        <f>F5+F5*$E$2</f>
        <v>661.559535</v>
      </c>
      <c r="H5" s="154">
        <f>G5+G5*$E$2</f>
        <v>694.6375117499999</v>
      </c>
      <c r="I5" s="154">
        <f>H5+H5*$E$2</f>
        <v>729.3693873374999</v>
      </c>
      <c r="J5" s="154">
        <f>I5+I5*$E$2</f>
        <v>765.8378567043749</v>
      </c>
      <c r="K5" s="154"/>
      <c r="M5" s="81" t="str">
        <f t="shared" si="1"/>
        <v>ФОТ</v>
      </c>
      <c r="N5" s="146"/>
      <c r="O5" s="154">
        <f aca="true" t="shared" si="4" ref="O5:O15">C5*12</f>
        <v>6857.76</v>
      </c>
      <c r="P5" s="154">
        <f aca="true" t="shared" si="5" ref="P5:P15">D5*12</f>
        <v>6857.76</v>
      </c>
      <c r="Q5" s="154">
        <f aca="true" t="shared" si="6" ref="Q5:Q15">E5*12</f>
        <v>7200.647999999999</v>
      </c>
      <c r="R5" s="154">
        <f aca="true" t="shared" si="7" ref="R5:R15">F5*12</f>
        <v>7560.680399999999</v>
      </c>
      <c r="S5" s="154">
        <f aca="true" t="shared" si="8" ref="S5:S15">G5*12</f>
        <v>7938.71442</v>
      </c>
      <c r="T5" s="154">
        <f aca="true" t="shared" si="9" ref="T5:T15">H5*12</f>
        <v>8335.650140999998</v>
      </c>
      <c r="U5" s="154">
        <f aca="true" t="shared" si="10" ref="U5:U15">I5*12</f>
        <v>8752.432648049999</v>
      </c>
      <c r="V5" s="154">
        <f aca="true" t="shared" si="11" ref="V5:V15">J5*12</f>
        <v>9190.0542804525</v>
      </c>
    </row>
    <row r="6" spans="1:22" ht="12.75">
      <c r="A6" s="167" t="s">
        <v>267</v>
      </c>
      <c r="B6" s="232"/>
      <c r="C6" s="146">
        <f>Исх!$C$39*Исх!$C$36/Исх!$C$19/1000</f>
        <v>14.76</v>
      </c>
      <c r="D6" s="154">
        <f>Исх!$C$39*Производство!AC6*Исх!$C$36/Исх!$C$19/1000</f>
        <v>10.885500000000002</v>
      </c>
      <c r="E6" s="154">
        <f>Исх!$C$39*Производство!AP6*Исх!$C$36/Исх!$C$19/1000</f>
        <v>12.546</v>
      </c>
      <c r="F6" s="154">
        <f>Исх!$C$39*Производство!AQ6*Исх!$C$36/Исх!$C$19/1000</f>
        <v>14.022</v>
      </c>
      <c r="G6" s="154">
        <f>Исх!$C$39*Производство!AR6*Исх!$C$36/Исх!$C$19/1000</f>
        <v>14.76</v>
      </c>
      <c r="H6" s="154">
        <f>Исх!$C$39*Производство!AS6*Исх!$C$36/Исх!$C$19/1000</f>
        <v>14.76</v>
      </c>
      <c r="I6" s="154">
        <f>Исх!$C$39*Производство!AT6*Исх!$C$36/Исх!$C$19/1000</f>
        <v>14.76</v>
      </c>
      <c r="J6" s="154">
        <f>Исх!$C$39*Производство!AU6*Исх!$C$36/Исх!$C$19/1000</f>
        <v>14.76</v>
      </c>
      <c r="K6" s="285" t="s">
        <v>348</v>
      </c>
      <c r="M6" s="81" t="str">
        <f t="shared" si="1"/>
        <v>Электроэнергия</v>
      </c>
      <c r="N6" s="232"/>
      <c r="O6" s="154">
        <f t="shared" si="4"/>
        <v>177.12</v>
      </c>
      <c r="P6" s="154">
        <f t="shared" si="5"/>
        <v>130.62600000000003</v>
      </c>
      <c r="Q6" s="154">
        <f t="shared" si="6"/>
        <v>150.552</v>
      </c>
      <c r="R6" s="154">
        <f t="shared" si="7"/>
        <v>168.264</v>
      </c>
      <c r="S6" s="154">
        <f t="shared" si="8"/>
        <v>177.12</v>
      </c>
      <c r="T6" s="154">
        <f t="shared" si="9"/>
        <v>177.12</v>
      </c>
      <c r="U6" s="154">
        <f t="shared" si="10"/>
        <v>177.12</v>
      </c>
      <c r="V6" s="154">
        <f t="shared" si="11"/>
        <v>177.12</v>
      </c>
    </row>
    <row r="7" spans="1:22" ht="12.75">
      <c r="A7" s="167" t="s">
        <v>212</v>
      </c>
      <c r="B7" s="232"/>
      <c r="C7" s="145">
        <v>25</v>
      </c>
      <c r="D7" s="154">
        <f aca="true" t="shared" si="12" ref="D7:D15">C7</f>
        <v>25</v>
      </c>
      <c r="E7" s="154">
        <f t="shared" si="3"/>
        <v>26.25</v>
      </c>
      <c r="F7" s="154">
        <f>E7+E7*$E$2</f>
        <v>27.5625</v>
      </c>
      <c r="G7" s="154">
        <f>F7+F7*$E$2</f>
        <v>28.940625</v>
      </c>
      <c r="H7" s="154">
        <f>G7+G7*$E$2</f>
        <v>30.38765625</v>
      </c>
      <c r="I7" s="154">
        <f>H7+H7*$E$2</f>
        <v>31.907039062499997</v>
      </c>
      <c r="J7" s="154">
        <f>I7+I7*$E$2</f>
        <v>33.502391015624994</v>
      </c>
      <c r="K7" s="154"/>
      <c r="M7" s="81" t="str">
        <f t="shared" si="1"/>
        <v>Коммунальные расходы</v>
      </c>
      <c r="N7" s="232"/>
      <c r="O7" s="154">
        <f t="shared" si="4"/>
        <v>300</v>
      </c>
      <c r="P7" s="154">
        <f t="shared" si="5"/>
        <v>300</v>
      </c>
      <c r="Q7" s="154">
        <f t="shared" si="6"/>
        <v>315</v>
      </c>
      <c r="R7" s="154">
        <f t="shared" si="7"/>
        <v>330.75</v>
      </c>
      <c r="S7" s="154">
        <f t="shared" si="8"/>
        <v>347.2875</v>
      </c>
      <c r="T7" s="154">
        <f t="shared" si="9"/>
        <v>364.651875</v>
      </c>
      <c r="U7" s="154">
        <f t="shared" si="10"/>
        <v>382.88446875</v>
      </c>
      <c r="V7" s="154">
        <f t="shared" si="11"/>
        <v>402.0286921874999</v>
      </c>
    </row>
    <row r="8" spans="1:22" ht="12.75">
      <c r="A8" s="286" t="s">
        <v>294</v>
      </c>
      <c r="B8" s="287"/>
      <c r="C8" s="256">
        <v>70</v>
      </c>
      <c r="D8" s="116">
        <f t="shared" si="12"/>
        <v>70</v>
      </c>
      <c r="E8" s="116">
        <f t="shared" si="3"/>
        <v>73.5</v>
      </c>
      <c r="F8" s="116">
        <f aca="true" t="shared" si="13" ref="F8:J13">E8+E8*$E$2</f>
        <v>77.175</v>
      </c>
      <c r="G8" s="116">
        <f t="shared" si="13"/>
        <v>81.03375</v>
      </c>
      <c r="H8" s="116">
        <f t="shared" si="13"/>
        <v>85.0854375</v>
      </c>
      <c r="I8" s="116">
        <f t="shared" si="13"/>
        <v>89.339709375</v>
      </c>
      <c r="J8" s="116">
        <f t="shared" si="13"/>
        <v>93.80669484375</v>
      </c>
      <c r="K8" s="285" t="s">
        <v>295</v>
      </c>
      <c r="M8" s="115" t="str">
        <f t="shared" si="1"/>
        <v>Услуги охранной фирмы</v>
      </c>
      <c r="N8" s="287"/>
      <c r="O8" s="154">
        <f t="shared" si="4"/>
        <v>840</v>
      </c>
      <c r="P8" s="154">
        <f t="shared" si="5"/>
        <v>840</v>
      </c>
      <c r="Q8" s="154">
        <f t="shared" si="6"/>
        <v>882</v>
      </c>
      <c r="R8" s="154">
        <f t="shared" si="7"/>
        <v>926.0999999999999</v>
      </c>
      <c r="S8" s="154">
        <f t="shared" si="8"/>
        <v>972.405</v>
      </c>
      <c r="T8" s="154">
        <f t="shared" si="9"/>
        <v>1021.0252499999999</v>
      </c>
      <c r="U8" s="154">
        <f t="shared" si="10"/>
        <v>1072.0765125</v>
      </c>
      <c r="V8" s="154">
        <f t="shared" si="11"/>
        <v>1125.680338125</v>
      </c>
    </row>
    <row r="9" spans="1:22" ht="12.75">
      <c r="A9" s="167" t="s">
        <v>246</v>
      </c>
      <c r="B9" s="146"/>
      <c r="C9" s="145">
        <v>30</v>
      </c>
      <c r="D9" s="154">
        <f t="shared" si="12"/>
        <v>30</v>
      </c>
      <c r="E9" s="154">
        <f t="shared" si="3"/>
        <v>31.5</v>
      </c>
      <c r="F9" s="154">
        <f t="shared" si="13"/>
        <v>33.075</v>
      </c>
      <c r="G9" s="154">
        <f t="shared" si="13"/>
        <v>34.728750000000005</v>
      </c>
      <c r="H9" s="154">
        <f t="shared" si="13"/>
        <v>36.465187500000006</v>
      </c>
      <c r="I9" s="154">
        <f t="shared" si="13"/>
        <v>38.288446875000005</v>
      </c>
      <c r="J9" s="154">
        <f t="shared" si="13"/>
        <v>40.20286921875</v>
      </c>
      <c r="K9" s="154"/>
      <c r="M9" s="81" t="str">
        <f t="shared" si="1"/>
        <v>Спецодежда, перчатки, хоз.товары</v>
      </c>
      <c r="N9" s="146"/>
      <c r="O9" s="154">
        <f t="shared" si="4"/>
        <v>360</v>
      </c>
      <c r="P9" s="154">
        <f t="shared" si="5"/>
        <v>360</v>
      </c>
      <c r="Q9" s="154">
        <f t="shared" si="6"/>
        <v>378</v>
      </c>
      <c r="R9" s="154">
        <f t="shared" si="7"/>
        <v>396.90000000000003</v>
      </c>
      <c r="S9" s="154">
        <f t="shared" si="8"/>
        <v>416.74500000000006</v>
      </c>
      <c r="T9" s="154">
        <f t="shared" si="9"/>
        <v>437.58225000000004</v>
      </c>
      <c r="U9" s="154">
        <f t="shared" si="10"/>
        <v>459.46136250000006</v>
      </c>
      <c r="V9" s="154">
        <f t="shared" si="11"/>
        <v>482.434430625</v>
      </c>
    </row>
    <row r="10" spans="1:22" ht="12.75">
      <c r="A10" s="81" t="s">
        <v>100</v>
      </c>
      <c r="B10" s="146"/>
      <c r="C10" s="145">
        <v>15</v>
      </c>
      <c r="D10" s="154">
        <f t="shared" si="12"/>
        <v>15</v>
      </c>
      <c r="E10" s="154">
        <f t="shared" si="3"/>
        <v>15.75</v>
      </c>
      <c r="F10" s="154">
        <f t="shared" si="13"/>
        <v>16.5375</v>
      </c>
      <c r="G10" s="154">
        <f t="shared" si="13"/>
        <v>17.364375000000003</v>
      </c>
      <c r="H10" s="154">
        <f t="shared" si="13"/>
        <v>18.232593750000003</v>
      </c>
      <c r="I10" s="154">
        <f t="shared" si="13"/>
        <v>19.144223437500003</v>
      </c>
      <c r="J10" s="154">
        <f t="shared" si="13"/>
        <v>20.101434609375</v>
      </c>
      <c r="K10" s="154"/>
      <c r="M10" s="81" t="str">
        <f t="shared" si="1"/>
        <v>Обслуживание и ремонт ОС</v>
      </c>
      <c r="N10" s="146"/>
      <c r="O10" s="154">
        <f t="shared" si="4"/>
        <v>180</v>
      </c>
      <c r="P10" s="154">
        <f t="shared" si="5"/>
        <v>180</v>
      </c>
      <c r="Q10" s="154">
        <f t="shared" si="6"/>
        <v>189</v>
      </c>
      <c r="R10" s="154">
        <f t="shared" si="7"/>
        <v>198.45000000000002</v>
      </c>
      <c r="S10" s="154">
        <f t="shared" si="8"/>
        <v>208.37250000000003</v>
      </c>
      <c r="T10" s="154">
        <f t="shared" si="9"/>
        <v>218.79112500000002</v>
      </c>
      <c r="U10" s="154">
        <f t="shared" si="10"/>
        <v>229.73068125000003</v>
      </c>
      <c r="V10" s="154">
        <f t="shared" si="11"/>
        <v>241.2172153125</v>
      </c>
    </row>
    <row r="11" spans="1:22" ht="12.75">
      <c r="A11" s="81" t="s">
        <v>346</v>
      </c>
      <c r="B11" s="146"/>
      <c r="C11" s="145">
        <v>120</v>
      </c>
      <c r="D11" s="154">
        <f t="shared" si="12"/>
        <v>120</v>
      </c>
      <c r="E11" s="154">
        <f t="shared" si="3"/>
        <v>126</v>
      </c>
      <c r="F11" s="154">
        <f t="shared" si="13"/>
        <v>132.3</v>
      </c>
      <c r="G11" s="154">
        <f t="shared" si="13"/>
        <v>138.91500000000002</v>
      </c>
      <c r="H11" s="154">
        <f t="shared" si="13"/>
        <v>145.86075000000002</v>
      </c>
      <c r="I11" s="154">
        <f t="shared" si="13"/>
        <v>153.15378750000002</v>
      </c>
      <c r="J11" s="154">
        <f t="shared" si="13"/>
        <v>160.811476875</v>
      </c>
      <c r="K11" s="154" t="s">
        <v>347</v>
      </c>
      <c r="M11" s="81" t="str">
        <f t="shared" si="1"/>
        <v>Аренда автотранспорта</v>
      </c>
      <c r="N11" s="146"/>
      <c r="O11" s="154">
        <f t="shared" si="4"/>
        <v>1440</v>
      </c>
      <c r="P11" s="154">
        <f t="shared" si="5"/>
        <v>1440</v>
      </c>
      <c r="Q11" s="154">
        <f t="shared" si="6"/>
        <v>1512</v>
      </c>
      <c r="R11" s="154">
        <f t="shared" si="7"/>
        <v>1587.6000000000001</v>
      </c>
      <c r="S11" s="154">
        <f t="shared" si="8"/>
        <v>1666.9800000000002</v>
      </c>
      <c r="T11" s="154">
        <f t="shared" si="9"/>
        <v>1750.3290000000002</v>
      </c>
      <c r="U11" s="154">
        <f t="shared" si="10"/>
        <v>1837.8454500000003</v>
      </c>
      <c r="V11" s="154">
        <f t="shared" si="11"/>
        <v>1929.7377225</v>
      </c>
    </row>
    <row r="12" spans="1:22" ht="12.75">
      <c r="A12" s="81" t="s">
        <v>247</v>
      </c>
      <c r="B12" s="146"/>
      <c r="C12" s="145">
        <v>15</v>
      </c>
      <c r="D12" s="154">
        <f t="shared" si="12"/>
        <v>15</v>
      </c>
      <c r="E12" s="154">
        <f t="shared" si="3"/>
        <v>15.75</v>
      </c>
      <c r="F12" s="154">
        <f t="shared" si="13"/>
        <v>16.5375</v>
      </c>
      <c r="G12" s="154">
        <f t="shared" si="13"/>
        <v>17.364375000000003</v>
      </c>
      <c r="H12" s="154">
        <f t="shared" si="13"/>
        <v>18.232593750000003</v>
      </c>
      <c r="I12" s="154">
        <f t="shared" si="13"/>
        <v>19.144223437500003</v>
      </c>
      <c r="J12" s="154">
        <f t="shared" si="13"/>
        <v>20.101434609375</v>
      </c>
      <c r="K12" s="154" t="s">
        <v>292</v>
      </c>
      <c r="M12" s="81" t="str">
        <f t="shared" si="1"/>
        <v>Услуги банка</v>
      </c>
      <c r="N12" s="146"/>
      <c r="O12" s="154">
        <f t="shared" si="4"/>
        <v>180</v>
      </c>
      <c r="P12" s="154">
        <f t="shared" si="5"/>
        <v>180</v>
      </c>
      <c r="Q12" s="154">
        <f t="shared" si="6"/>
        <v>189</v>
      </c>
      <c r="R12" s="154">
        <f t="shared" si="7"/>
        <v>198.45000000000002</v>
      </c>
      <c r="S12" s="154">
        <f t="shared" si="8"/>
        <v>208.37250000000003</v>
      </c>
      <c r="T12" s="154">
        <f t="shared" si="9"/>
        <v>218.79112500000002</v>
      </c>
      <c r="U12" s="154">
        <f t="shared" si="10"/>
        <v>229.73068125000003</v>
      </c>
      <c r="V12" s="154">
        <f t="shared" si="11"/>
        <v>241.2172153125</v>
      </c>
    </row>
    <row r="13" spans="1:22" ht="12.75">
      <c r="A13" s="81" t="s">
        <v>248</v>
      </c>
      <c r="B13" s="146"/>
      <c r="C13" s="145">
        <v>7</v>
      </c>
      <c r="D13" s="154">
        <f t="shared" si="12"/>
        <v>7</v>
      </c>
      <c r="E13" s="154">
        <f t="shared" si="3"/>
        <v>7.35</v>
      </c>
      <c r="F13" s="154">
        <f t="shared" si="13"/>
        <v>7.717499999999999</v>
      </c>
      <c r="G13" s="154">
        <f t="shared" si="13"/>
        <v>8.103375</v>
      </c>
      <c r="H13" s="154">
        <f t="shared" si="13"/>
        <v>8.50854375</v>
      </c>
      <c r="I13" s="154">
        <f t="shared" si="13"/>
        <v>8.9339709375</v>
      </c>
      <c r="J13" s="154">
        <f t="shared" si="13"/>
        <v>9.380669484375</v>
      </c>
      <c r="K13" s="154"/>
      <c r="M13" s="81" t="str">
        <f t="shared" si="1"/>
        <v>Канц.товары</v>
      </c>
      <c r="N13" s="146"/>
      <c r="O13" s="154">
        <f t="shared" si="4"/>
        <v>84</v>
      </c>
      <c r="P13" s="154">
        <f t="shared" si="5"/>
        <v>84</v>
      </c>
      <c r="Q13" s="154">
        <f t="shared" si="6"/>
        <v>88.19999999999999</v>
      </c>
      <c r="R13" s="154">
        <f t="shared" si="7"/>
        <v>92.60999999999999</v>
      </c>
      <c r="S13" s="154">
        <f t="shared" si="8"/>
        <v>97.2405</v>
      </c>
      <c r="T13" s="154">
        <f t="shared" si="9"/>
        <v>102.10252499999999</v>
      </c>
      <c r="U13" s="154">
        <f t="shared" si="10"/>
        <v>107.20765125</v>
      </c>
      <c r="V13" s="154">
        <f t="shared" si="11"/>
        <v>112.5680338125</v>
      </c>
    </row>
    <row r="14" spans="1:22" ht="12.75">
      <c r="A14" s="81" t="s">
        <v>79</v>
      </c>
      <c r="B14" s="146"/>
      <c r="C14" s="145">
        <v>18</v>
      </c>
      <c r="D14" s="154">
        <f t="shared" si="12"/>
        <v>18</v>
      </c>
      <c r="E14" s="154">
        <f t="shared" si="3"/>
        <v>18.9</v>
      </c>
      <c r="F14" s="154">
        <f aca="true" t="shared" si="14" ref="F14:J15">E14+E14*$E$2</f>
        <v>19.845</v>
      </c>
      <c r="G14" s="154">
        <f t="shared" si="14"/>
        <v>20.837249999999997</v>
      </c>
      <c r="H14" s="154">
        <f t="shared" si="14"/>
        <v>21.879112499999998</v>
      </c>
      <c r="I14" s="154">
        <f t="shared" si="14"/>
        <v>22.973068124999998</v>
      </c>
      <c r="J14" s="154">
        <f t="shared" si="14"/>
        <v>24.121721531249996</v>
      </c>
      <c r="K14" s="154" t="s">
        <v>293</v>
      </c>
      <c r="M14" s="81" t="str">
        <f t="shared" si="1"/>
        <v>Расходы на рекламу</v>
      </c>
      <c r="N14" s="146"/>
      <c r="O14" s="154">
        <f t="shared" si="4"/>
        <v>216</v>
      </c>
      <c r="P14" s="154">
        <f t="shared" si="5"/>
        <v>216</v>
      </c>
      <c r="Q14" s="154">
        <f t="shared" si="6"/>
        <v>226.79999999999998</v>
      </c>
      <c r="R14" s="154">
        <f t="shared" si="7"/>
        <v>238.14</v>
      </c>
      <c r="S14" s="154">
        <f t="shared" si="8"/>
        <v>250.04699999999997</v>
      </c>
      <c r="T14" s="154">
        <f t="shared" si="9"/>
        <v>262.54935</v>
      </c>
      <c r="U14" s="154">
        <f t="shared" si="10"/>
        <v>275.67681749999997</v>
      </c>
      <c r="V14" s="154">
        <f t="shared" si="11"/>
        <v>289.460658375</v>
      </c>
    </row>
    <row r="15" spans="1:22" ht="12.75">
      <c r="A15" s="81" t="s">
        <v>46</v>
      </c>
      <c r="B15" s="154"/>
      <c r="C15" s="145">
        <v>30</v>
      </c>
      <c r="D15" s="154">
        <f t="shared" si="12"/>
        <v>30</v>
      </c>
      <c r="E15" s="154">
        <f t="shared" si="3"/>
        <v>31.5</v>
      </c>
      <c r="F15" s="154">
        <f t="shared" si="14"/>
        <v>33.075</v>
      </c>
      <c r="G15" s="154">
        <f t="shared" si="14"/>
        <v>34.728750000000005</v>
      </c>
      <c r="H15" s="154">
        <f t="shared" si="14"/>
        <v>36.465187500000006</v>
      </c>
      <c r="I15" s="154">
        <f t="shared" si="14"/>
        <v>38.288446875000005</v>
      </c>
      <c r="J15" s="154">
        <f t="shared" si="14"/>
        <v>40.20286921875</v>
      </c>
      <c r="K15" s="154"/>
      <c r="M15" s="81" t="str">
        <f t="shared" si="1"/>
        <v>Прочие непредвиденные расходы</v>
      </c>
      <c r="N15" s="154"/>
      <c r="O15" s="154">
        <f t="shared" si="4"/>
        <v>360</v>
      </c>
      <c r="P15" s="154">
        <f t="shared" si="5"/>
        <v>360</v>
      </c>
      <c r="Q15" s="154">
        <f t="shared" si="6"/>
        <v>378</v>
      </c>
      <c r="R15" s="154">
        <f t="shared" si="7"/>
        <v>396.90000000000003</v>
      </c>
      <c r="S15" s="154">
        <f t="shared" si="8"/>
        <v>416.74500000000006</v>
      </c>
      <c r="T15" s="154">
        <f t="shared" si="9"/>
        <v>437.58225000000004</v>
      </c>
      <c r="U15" s="154">
        <f t="shared" si="10"/>
        <v>459.46136250000006</v>
      </c>
      <c r="V15" s="154">
        <f t="shared" si="11"/>
        <v>482.434430625</v>
      </c>
    </row>
    <row r="16" spans="1:24" ht="12.75">
      <c r="A16" s="217" t="s">
        <v>0</v>
      </c>
      <c r="B16" s="218"/>
      <c r="C16" s="218">
        <f aca="true" t="shared" si="15" ref="C16:J16">SUM(C5:C15)</f>
        <v>916.24</v>
      </c>
      <c r="D16" s="218">
        <f t="shared" si="15"/>
        <v>912.3655</v>
      </c>
      <c r="E16" s="218">
        <f t="shared" si="15"/>
        <v>959.1</v>
      </c>
      <c r="F16" s="218">
        <f t="shared" si="15"/>
        <v>1007.9037000000002</v>
      </c>
      <c r="G16" s="218">
        <f t="shared" si="15"/>
        <v>1058.335785</v>
      </c>
      <c r="H16" s="218">
        <f t="shared" si="15"/>
        <v>1110.5145742499997</v>
      </c>
      <c r="I16" s="218">
        <f t="shared" si="15"/>
        <v>1165.3023029624999</v>
      </c>
      <c r="J16" s="218">
        <f t="shared" si="15"/>
        <v>1222.8294181106248</v>
      </c>
      <c r="K16" s="218"/>
      <c r="M16" s="217" t="str">
        <f t="shared" si="1"/>
        <v>Итого</v>
      </c>
      <c r="N16" s="218"/>
      <c r="O16" s="218">
        <f aca="true" t="shared" si="16" ref="O16:V16">SUM(O5:O15)</f>
        <v>10994.880000000001</v>
      </c>
      <c r="P16" s="218">
        <f t="shared" si="16"/>
        <v>10948.386</v>
      </c>
      <c r="Q16" s="218">
        <f t="shared" si="16"/>
        <v>11509.199999999999</v>
      </c>
      <c r="R16" s="218">
        <f t="shared" si="16"/>
        <v>12094.8444</v>
      </c>
      <c r="S16" s="218">
        <f t="shared" si="16"/>
        <v>12700.02942</v>
      </c>
      <c r="T16" s="218">
        <f t="shared" si="16"/>
        <v>13326.174890999997</v>
      </c>
      <c r="U16" s="218">
        <f t="shared" si="16"/>
        <v>13983.62763555</v>
      </c>
      <c r="V16" s="218">
        <f t="shared" si="16"/>
        <v>14673.953017327498</v>
      </c>
      <c r="X16" s="247"/>
    </row>
    <row r="18" spans="1:22" ht="12.75">
      <c r="A18" s="62" t="s">
        <v>80</v>
      </c>
      <c r="C18" s="201">
        <f aca="true" t="shared" si="17" ref="C18:J18">SUM(C19:C19)</f>
        <v>4.000360000000001</v>
      </c>
      <c r="D18" s="201">
        <f t="shared" si="17"/>
        <v>4.000360000000001</v>
      </c>
      <c r="E18" s="201">
        <f t="shared" si="17"/>
        <v>4.200378</v>
      </c>
      <c r="F18" s="201">
        <f t="shared" si="17"/>
        <v>4.4103969</v>
      </c>
      <c r="G18" s="201">
        <f t="shared" si="17"/>
        <v>4.630916745</v>
      </c>
      <c r="H18" s="201">
        <f t="shared" si="17"/>
        <v>4.86246258225</v>
      </c>
      <c r="I18" s="201">
        <f t="shared" si="17"/>
        <v>5.105585711362499</v>
      </c>
      <c r="J18" s="201">
        <f t="shared" si="17"/>
        <v>5.360864996930625</v>
      </c>
      <c r="M18" s="62" t="str">
        <f>A18</f>
        <v>Страхование</v>
      </c>
      <c r="O18" s="201">
        <f aca="true" t="shared" si="18" ref="O18:V18">SUM(O19:O19)</f>
        <v>48.00432000000001</v>
      </c>
      <c r="P18" s="201">
        <f t="shared" si="18"/>
        <v>48.00432000000001</v>
      </c>
      <c r="Q18" s="201">
        <f t="shared" si="18"/>
        <v>50.40453599999999</v>
      </c>
      <c r="R18" s="201">
        <f t="shared" si="18"/>
        <v>52.9247628</v>
      </c>
      <c r="S18" s="201">
        <f t="shared" si="18"/>
        <v>55.571000940000005</v>
      </c>
      <c r="T18" s="201">
        <f t="shared" si="18"/>
        <v>58.349550987</v>
      </c>
      <c r="U18" s="201">
        <f t="shared" si="18"/>
        <v>61.26702853634999</v>
      </c>
      <c r="V18" s="201">
        <f t="shared" si="18"/>
        <v>64.3303799631675</v>
      </c>
    </row>
    <row r="19" spans="1:22" ht="25.5">
      <c r="A19" s="167" t="s">
        <v>81</v>
      </c>
      <c r="B19" s="170">
        <v>0.007</v>
      </c>
      <c r="C19" s="154">
        <f aca="true" t="shared" si="19" ref="C19:J19">C5*$B$19</f>
        <v>4.000360000000001</v>
      </c>
      <c r="D19" s="154">
        <f t="shared" si="19"/>
        <v>4.000360000000001</v>
      </c>
      <c r="E19" s="154">
        <f t="shared" si="19"/>
        <v>4.200378</v>
      </c>
      <c r="F19" s="154">
        <f t="shared" si="19"/>
        <v>4.4103969</v>
      </c>
      <c r="G19" s="154">
        <f t="shared" si="19"/>
        <v>4.630916745</v>
      </c>
      <c r="H19" s="154">
        <f t="shared" si="19"/>
        <v>4.86246258225</v>
      </c>
      <c r="I19" s="154">
        <f t="shared" si="19"/>
        <v>5.105585711362499</v>
      </c>
      <c r="J19" s="154">
        <f t="shared" si="19"/>
        <v>5.360864996930625</v>
      </c>
      <c r="M19" s="167" t="s">
        <v>81</v>
      </c>
      <c r="N19" s="172">
        <f>B19</f>
        <v>0.007</v>
      </c>
      <c r="O19" s="154">
        <f aca="true" t="shared" si="20" ref="O19:V19">C19*12</f>
        <v>48.00432000000001</v>
      </c>
      <c r="P19" s="154">
        <f t="shared" si="20"/>
        <v>48.00432000000001</v>
      </c>
      <c r="Q19" s="154">
        <f t="shared" si="20"/>
        <v>50.40453599999999</v>
      </c>
      <c r="R19" s="154">
        <f t="shared" si="20"/>
        <v>52.9247628</v>
      </c>
      <c r="S19" s="154">
        <f t="shared" si="20"/>
        <v>55.571000940000005</v>
      </c>
      <c r="T19" s="154">
        <f t="shared" si="20"/>
        <v>58.349550987</v>
      </c>
      <c r="U19" s="154">
        <f t="shared" si="20"/>
        <v>61.26702853634999</v>
      </c>
      <c r="V19" s="154">
        <f t="shared" si="20"/>
        <v>64.3303799631675</v>
      </c>
    </row>
    <row r="21" spans="1:22" ht="12.75">
      <c r="A21" s="62" t="s">
        <v>82</v>
      </c>
      <c r="C21" s="201">
        <f>SUM(C22:C23)</f>
        <v>5.117745535714285</v>
      </c>
      <c r="D21" s="201">
        <f aca="true" t="shared" si="21" ref="D21:I21">SUM(D22:D23)</f>
        <v>9.894308035714284</v>
      </c>
      <c r="E21" s="201">
        <f t="shared" si="21"/>
        <v>9.211941964285712</v>
      </c>
      <c r="F21" s="201">
        <f t="shared" si="21"/>
        <v>8.529575892857142</v>
      </c>
      <c r="G21" s="201">
        <f t="shared" si="21"/>
        <v>7.847209821428571</v>
      </c>
      <c r="H21" s="201">
        <f t="shared" si="21"/>
        <v>7.164843749999999</v>
      </c>
      <c r="I21" s="201">
        <f t="shared" si="21"/>
        <v>6.482477678571429</v>
      </c>
      <c r="J21" s="201">
        <f>SUM(J22:J23)</f>
        <v>5.800111607142857</v>
      </c>
      <c r="M21" s="62" t="str">
        <f>A21</f>
        <v>Налоги (кроме налогов на ФЗП)</v>
      </c>
      <c r="O21" s="201">
        <f>SUM(O22:O23)</f>
        <v>61.412946428571416</v>
      </c>
      <c r="P21" s="201">
        <f aca="true" t="shared" si="22" ref="P21:U21">SUM(P22:P23)</f>
        <v>118.73169642857141</v>
      </c>
      <c r="Q21" s="201">
        <f t="shared" si="22"/>
        <v>110.54330357142854</v>
      </c>
      <c r="R21" s="201">
        <f t="shared" si="22"/>
        <v>102.35491071428571</v>
      </c>
      <c r="S21" s="201">
        <f t="shared" si="22"/>
        <v>94.16651785714285</v>
      </c>
      <c r="T21" s="201">
        <f t="shared" si="22"/>
        <v>85.97812499999999</v>
      </c>
      <c r="U21" s="201">
        <f t="shared" si="22"/>
        <v>77.78973214285715</v>
      </c>
      <c r="V21" s="201">
        <f>SUM(V22:V23)</f>
        <v>69.60133928571429</v>
      </c>
    </row>
    <row r="22" spans="1:22" ht="12.75">
      <c r="A22" s="81" t="s">
        <v>2</v>
      </c>
      <c r="B22" s="172">
        <f>Исх!C17</f>
        <v>0.015</v>
      </c>
      <c r="C22" s="154">
        <f>(C35+C38)/2*$B$22/12</f>
        <v>5.117745535714285</v>
      </c>
      <c r="D22" s="154">
        <f aca="true" t="shared" si="23" ref="D22:I22">(D35+D38)/2*$B$22/12</f>
        <v>9.894308035714284</v>
      </c>
      <c r="E22" s="154">
        <f>(E35+E38)/2*$B$22/12</f>
        <v>9.211941964285712</v>
      </c>
      <c r="F22" s="154">
        <f t="shared" si="23"/>
        <v>8.529575892857142</v>
      </c>
      <c r="G22" s="154">
        <f t="shared" si="23"/>
        <v>7.847209821428571</v>
      </c>
      <c r="H22" s="154">
        <f t="shared" si="23"/>
        <v>7.164843749999999</v>
      </c>
      <c r="I22" s="154">
        <f t="shared" si="23"/>
        <v>6.482477678571429</v>
      </c>
      <c r="J22" s="154">
        <f>(J35+J38)/2*$B$22/12</f>
        <v>5.800111607142857</v>
      </c>
      <c r="M22" s="81" t="s">
        <v>2</v>
      </c>
      <c r="N22" s="172">
        <f>B22</f>
        <v>0.015</v>
      </c>
      <c r="O22" s="154">
        <f aca="true" t="shared" si="24" ref="O22:V23">C22*12</f>
        <v>61.412946428571416</v>
      </c>
      <c r="P22" s="154">
        <f t="shared" si="24"/>
        <v>118.73169642857141</v>
      </c>
      <c r="Q22" s="154">
        <f t="shared" si="24"/>
        <v>110.54330357142854</v>
      </c>
      <c r="R22" s="154">
        <f t="shared" si="24"/>
        <v>102.35491071428571</v>
      </c>
      <c r="S22" s="154">
        <f t="shared" si="24"/>
        <v>94.16651785714285</v>
      </c>
      <c r="T22" s="154">
        <f t="shared" si="24"/>
        <v>85.97812499999999</v>
      </c>
      <c r="U22" s="154">
        <f t="shared" si="24"/>
        <v>77.78973214285715</v>
      </c>
      <c r="V22" s="154">
        <f t="shared" si="24"/>
        <v>69.60133928571429</v>
      </c>
    </row>
    <row r="23" spans="1:22" ht="12.75">
      <c r="A23" s="81" t="s">
        <v>101</v>
      </c>
      <c r="B23" s="81"/>
      <c r="C23" s="145">
        <v>0</v>
      </c>
      <c r="D23" s="154">
        <f aca="true" t="shared" si="25" ref="D23:J23">C23+C23*$E$2</f>
        <v>0</v>
      </c>
      <c r="E23" s="154">
        <f t="shared" si="25"/>
        <v>0</v>
      </c>
      <c r="F23" s="154">
        <f t="shared" si="25"/>
        <v>0</v>
      </c>
      <c r="G23" s="154">
        <f t="shared" si="25"/>
        <v>0</v>
      </c>
      <c r="H23" s="154">
        <f t="shared" si="25"/>
        <v>0</v>
      </c>
      <c r="I23" s="154">
        <f t="shared" si="25"/>
        <v>0</v>
      </c>
      <c r="J23" s="154">
        <f t="shared" si="25"/>
        <v>0</v>
      </c>
      <c r="M23" s="81" t="s">
        <v>101</v>
      </c>
      <c r="N23" s="81"/>
      <c r="O23" s="154">
        <f t="shared" si="24"/>
        <v>0</v>
      </c>
      <c r="P23" s="154">
        <f t="shared" si="24"/>
        <v>0</v>
      </c>
      <c r="Q23" s="154">
        <f t="shared" si="24"/>
        <v>0</v>
      </c>
      <c r="R23" s="154">
        <f t="shared" si="24"/>
        <v>0</v>
      </c>
      <c r="S23" s="154">
        <f t="shared" si="24"/>
        <v>0</v>
      </c>
      <c r="T23" s="154">
        <f t="shared" si="24"/>
        <v>0</v>
      </c>
      <c r="U23" s="154">
        <f t="shared" si="24"/>
        <v>0</v>
      </c>
      <c r="V23" s="154">
        <f t="shared" si="24"/>
        <v>0</v>
      </c>
    </row>
    <row r="25" ht="12.75">
      <c r="C25" s="173"/>
    </row>
    <row r="26" spans="1:10" ht="12.75">
      <c r="A26" s="301" t="s">
        <v>83</v>
      </c>
      <c r="B26" s="301"/>
      <c r="C26" s="301"/>
      <c r="D26" s="301"/>
      <c r="E26" s="301"/>
      <c r="F26" s="301"/>
      <c r="G26" s="161"/>
      <c r="H26" s="161"/>
      <c r="I26" s="161"/>
      <c r="J26" s="161"/>
    </row>
    <row r="27" spans="1:10" ht="12.75">
      <c r="A27" s="141" t="s">
        <v>89</v>
      </c>
      <c r="B27" s="81"/>
      <c r="C27" s="142">
        <v>2013</v>
      </c>
      <c r="D27" s="142">
        <f aca="true" t="shared" si="26" ref="D27:J27">D4</f>
        <v>2014</v>
      </c>
      <c r="E27" s="142">
        <f t="shared" si="26"/>
        <v>2015</v>
      </c>
      <c r="F27" s="142">
        <f t="shared" si="26"/>
        <v>2016</v>
      </c>
      <c r="G27" s="142">
        <f t="shared" si="26"/>
        <v>2017</v>
      </c>
      <c r="H27" s="142">
        <f t="shared" si="26"/>
        <v>2018</v>
      </c>
      <c r="I27" s="142">
        <f t="shared" si="26"/>
        <v>2019</v>
      </c>
      <c r="J27" s="142">
        <f t="shared" si="26"/>
        <v>2020</v>
      </c>
    </row>
    <row r="28" spans="1:10" ht="12.75">
      <c r="A28" s="81" t="s">
        <v>84</v>
      </c>
      <c r="B28" s="174"/>
      <c r="C28" s="81"/>
      <c r="D28" s="81"/>
      <c r="E28" s="81"/>
      <c r="F28" s="81"/>
      <c r="G28" s="81"/>
      <c r="H28" s="81"/>
      <c r="I28" s="81"/>
      <c r="J28" s="81"/>
    </row>
    <row r="29" spans="1:10" ht="12.75">
      <c r="A29" s="81" t="s">
        <v>85</v>
      </c>
      <c r="B29" s="175"/>
      <c r="C29" s="154">
        <f>C35+C41+C47</f>
        <v>0</v>
      </c>
      <c r="D29" s="154">
        <f aca="true" t="shared" si="27" ref="D29:I29">D35+D41+D47</f>
        <v>9674.677657142856</v>
      </c>
      <c r="E29" s="154">
        <f t="shared" si="27"/>
        <v>8969.539999999999</v>
      </c>
      <c r="F29" s="154">
        <f t="shared" si="27"/>
        <v>8290.943142857142</v>
      </c>
      <c r="G29" s="154">
        <f t="shared" si="27"/>
        <v>7612.346285714286</v>
      </c>
      <c r="H29" s="154">
        <f t="shared" si="27"/>
        <v>6933.749428571428</v>
      </c>
      <c r="I29" s="154">
        <f t="shared" si="27"/>
        <v>6255.152571428572</v>
      </c>
      <c r="J29" s="154">
        <f>J35+J41+J47</f>
        <v>5576.555714285715</v>
      </c>
    </row>
    <row r="30" spans="1:10" ht="12.75">
      <c r="A30" s="81" t="s">
        <v>86</v>
      </c>
      <c r="B30" s="175"/>
      <c r="C30" s="154">
        <f>C36+C42+C48</f>
        <v>9515.432857142856</v>
      </c>
      <c r="D30" s="154">
        <f aca="true" t="shared" si="28" ref="D30:I30">D36+D42+D48</f>
        <v>0</v>
      </c>
      <c r="E30" s="154">
        <f t="shared" si="28"/>
        <v>0</v>
      </c>
      <c r="F30" s="154">
        <f t="shared" si="28"/>
        <v>0</v>
      </c>
      <c r="G30" s="154">
        <f t="shared" si="28"/>
        <v>0</v>
      </c>
      <c r="H30" s="154">
        <f t="shared" si="28"/>
        <v>0</v>
      </c>
      <c r="I30" s="154">
        <f t="shared" si="28"/>
        <v>0</v>
      </c>
      <c r="J30" s="154">
        <f>J36+J42+J48</f>
        <v>0</v>
      </c>
    </row>
    <row r="31" spans="1:10" ht="12.75">
      <c r="A31" s="156" t="s">
        <v>87</v>
      </c>
      <c r="B31" s="156"/>
      <c r="C31" s="155">
        <f>C37+C43+C49</f>
        <v>0</v>
      </c>
      <c r="D31" s="155">
        <f aca="true" t="shared" si="29" ref="D31:I31">D37+D43+D49</f>
        <v>678.5968571428571</v>
      </c>
      <c r="E31" s="155">
        <f>E37+E43+E49</f>
        <v>678.5968571428571</v>
      </c>
      <c r="F31" s="155">
        <f t="shared" si="29"/>
        <v>678.5968571428571</v>
      </c>
      <c r="G31" s="155">
        <f t="shared" si="29"/>
        <v>678.5968571428571</v>
      </c>
      <c r="H31" s="155">
        <f t="shared" si="29"/>
        <v>678.5968571428571</v>
      </c>
      <c r="I31" s="155">
        <f t="shared" si="29"/>
        <v>678.5968571428571</v>
      </c>
      <c r="J31" s="155">
        <f>J37+J43+J49</f>
        <v>678.5968571428571</v>
      </c>
    </row>
    <row r="32" spans="1:10" ht="12.75">
      <c r="A32" s="81" t="s">
        <v>88</v>
      </c>
      <c r="B32" s="175"/>
      <c r="C32" s="154">
        <f aca="true" t="shared" si="30" ref="C32:I32">C29+C30-C31</f>
        <v>9515.432857142856</v>
      </c>
      <c r="D32" s="154">
        <f t="shared" si="30"/>
        <v>8996.0808</v>
      </c>
      <c r="E32" s="154">
        <f t="shared" si="30"/>
        <v>8290.943142857142</v>
      </c>
      <c r="F32" s="154">
        <f t="shared" si="30"/>
        <v>7612.346285714286</v>
      </c>
      <c r="G32" s="154">
        <f t="shared" si="30"/>
        <v>6933.749428571429</v>
      </c>
      <c r="H32" s="154">
        <f t="shared" si="30"/>
        <v>6255.152571428571</v>
      </c>
      <c r="I32" s="154">
        <f t="shared" si="30"/>
        <v>5576.555714285714</v>
      </c>
      <c r="J32" s="154">
        <f>J29+J30-J31</f>
        <v>4897.958857142858</v>
      </c>
    </row>
    <row r="33" spans="1:10" ht="12.75" hidden="1" outlineLevel="1">
      <c r="A33" s="79" t="s">
        <v>109</v>
      </c>
      <c r="C33" s="142"/>
      <c r="D33" s="142"/>
      <c r="E33" s="142"/>
      <c r="F33" s="142"/>
      <c r="G33" s="142"/>
      <c r="H33" s="142"/>
      <c r="I33" s="142"/>
      <c r="J33" s="142"/>
    </row>
    <row r="34" spans="1:10" ht="12.75" hidden="1" outlineLevel="1">
      <c r="A34" s="81" t="s">
        <v>84</v>
      </c>
      <c r="B34" s="176">
        <f>1/15</f>
        <v>0.06666666666666667</v>
      </c>
      <c r="C34" s="81"/>
      <c r="D34" s="81"/>
      <c r="E34" s="81"/>
      <c r="F34" s="81"/>
      <c r="G34" s="81"/>
      <c r="H34" s="81"/>
      <c r="I34" s="81"/>
      <c r="J34" s="81"/>
    </row>
    <row r="35" spans="1:10" ht="12.75" hidden="1" outlineLevel="1">
      <c r="A35" s="81" t="s">
        <v>85</v>
      </c>
      <c r="B35" s="175"/>
      <c r="C35" s="146"/>
      <c r="D35" s="154">
        <f aca="true" t="shared" si="31" ref="D35:J35">C38</f>
        <v>8188.392857142856</v>
      </c>
      <c r="E35" s="154">
        <f t="shared" si="31"/>
        <v>7642.499999999999</v>
      </c>
      <c r="F35" s="154">
        <f t="shared" si="31"/>
        <v>7096.607142857142</v>
      </c>
      <c r="G35" s="154">
        <f t="shared" si="31"/>
        <v>6550.714285714285</v>
      </c>
      <c r="H35" s="154">
        <f t="shared" si="31"/>
        <v>6004.821428571428</v>
      </c>
      <c r="I35" s="154">
        <f t="shared" si="31"/>
        <v>5458.928571428572</v>
      </c>
      <c r="J35" s="154">
        <f t="shared" si="31"/>
        <v>4913.035714285715</v>
      </c>
    </row>
    <row r="36" spans="1:10" ht="12.75" hidden="1" outlineLevel="1">
      <c r="A36" s="81" t="s">
        <v>86</v>
      </c>
      <c r="B36" s="175"/>
      <c r="C36" s="154">
        <f>Инв!Q5/Исх!$C$19</f>
        <v>8188.392857142856</v>
      </c>
      <c r="D36" s="154"/>
      <c r="E36" s="154"/>
      <c r="F36" s="154"/>
      <c r="G36" s="154"/>
      <c r="H36" s="154"/>
      <c r="I36" s="154"/>
      <c r="J36" s="154"/>
    </row>
    <row r="37" spans="1:10" ht="12.75" hidden="1" outlineLevel="1">
      <c r="A37" s="156" t="s">
        <v>87</v>
      </c>
      <c r="B37" s="156"/>
      <c r="C37" s="155">
        <f>$C36*$B34/12*0</f>
        <v>0</v>
      </c>
      <c r="D37" s="155">
        <f>$C36*$B34</f>
        <v>545.8928571428571</v>
      </c>
      <c r="E37" s="155">
        <f aca="true" t="shared" si="32" ref="E37:J37">$C36*$B34</f>
        <v>545.8928571428571</v>
      </c>
      <c r="F37" s="155">
        <f t="shared" si="32"/>
        <v>545.8928571428571</v>
      </c>
      <c r="G37" s="155">
        <f t="shared" si="32"/>
        <v>545.8928571428571</v>
      </c>
      <c r="H37" s="155">
        <f t="shared" si="32"/>
        <v>545.8928571428571</v>
      </c>
      <c r="I37" s="155">
        <f t="shared" si="32"/>
        <v>545.8928571428571</v>
      </c>
      <c r="J37" s="155">
        <f t="shared" si="32"/>
        <v>545.8928571428571</v>
      </c>
    </row>
    <row r="38" spans="1:10" ht="12.75" hidden="1" outlineLevel="1">
      <c r="A38" s="81" t="s">
        <v>88</v>
      </c>
      <c r="B38" s="175"/>
      <c r="C38" s="154">
        <f aca="true" t="shared" si="33" ref="C38:I38">C35+C36-C37</f>
        <v>8188.392857142856</v>
      </c>
      <c r="D38" s="154">
        <f t="shared" si="33"/>
        <v>7642.499999999999</v>
      </c>
      <c r="E38" s="154">
        <f t="shared" si="33"/>
        <v>7096.607142857142</v>
      </c>
      <c r="F38" s="154">
        <f t="shared" si="33"/>
        <v>6550.714285714285</v>
      </c>
      <c r="G38" s="154">
        <f t="shared" si="33"/>
        <v>6004.821428571428</v>
      </c>
      <c r="H38" s="154">
        <f t="shared" si="33"/>
        <v>5458.928571428572</v>
      </c>
      <c r="I38" s="154">
        <f t="shared" si="33"/>
        <v>4913.035714285715</v>
      </c>
      <c r="J38" s="154">
        <f>J35+J36-J37</f>
        <v>4367.142857142858</v>
      </c>
    </row>
    <row r="39" spans="1:10" ht="12.75" hidden="1" outlineLevel="1">
      <c r="A39" s="79" t="s">
        <v>105</v>
      </c>
      <c r="C39" s="142"/>
      <c r="D39" s="142"/>
      <c r="E39" s="142"/>
      <c r="F39" s="142"/>
      <c r="G39" s="142"/>
      <c r="H39" s="142"/>
      <c r="I39" s="142"/>
      <c r="J39" s="142"/>
    </row>
    <row r="40" spans="1:10" ht="12.75" hidden="1" outlineLevel="1">
      <c r="A40" s="81" t="s">
        <v>84</v>
      </c>
      <c r="B40" s="176">
        <f>1/10</f>
        <v>0.1</v>
      </c>
      <c r="C40" s="81"/>
      <c r="D40" s="81"/>
      <c r="E40" s="81"/>
      <c r="F40" s="81"/>
      <c r="G40" s="81"/>
      <c r="H40" s="81"/>
      <c r="I40" s="81"/>
      <c r="J40" s="81"/>
    </row>
    <row r="41" spans="1:10" ht="12.75" hidden="1" outlineLevel="1">
      <c r="A41" s="81" t="s">
        <v>85</v>
      </c>
      <c r="B41" s="175"/>
      <c r="C41" s="154"/>
      <c r="D41" s="154">
        <f>Инв!B19</f>
        <v>1486.2848000000001</v>
      </c>
      <c r="E41" s="154">
        <f>Инв!C19</f>
        <v>1327.04</v>
      </c>
      <c r="F41" s="154">
        <f>E44</f>
        <v>1194.336</v>
      </c>
      <c r="G41" s="154">
        <f>F44</f>
        <v>1061.632</v>
      </c>
      <c r="H41" s="154">
        <f>G44</f>
        <v>928.9280000000001</v>
      </c>
      <c r="I41" s="154">
        <f>H44</f>
        <v>796.2240000000002</v>
      </c>
      <c r="J41" s="154">
        <f>I44</f>
        <v>663.5200000000002</v>
      </c>
    </row>
    <row r="42" spans="1:10" ht="12.75" hidden="1" outlineLevel="1">
      <c r="A42" s="81" t="s">
        <v>86</v>
      </c>
      <c r="B42" s="175"/>
      <c r="C42" s="154">
        <f>Инв!Q9/Исх!$C$19</f>
        <v>1327.04</v>
      </c>
      <c r="D42" s="154"/>
      <c r="E42" s="154"/>
      <c r="F42" s="154"/>
      <c r="G42" s="154"/>
      <c r="H42" s="154"/>
      <c r="I42" s="154"/>
      <c r="J42" s="154"/>
    </row>
    <row r="43" spans="1:10" ht="12.75" hidden="1" outlineLevel="1">
      <c r="A43" s="156" t="s">
        <v>87</v>
      </c>
      <c r="B43" s="156"/>
      <c r="C43" s="155">
        <f>$C42*$B40/12*0</f>
        <v>0</v>
      </c>
      <c r="D43" s="155">
        <f aca="true" t="shared" si="34" ref="D43:J43">$C42*$B40</f>
        <v>132.704</v>
      </c>
      <c r="E43" s="155">
        <f t="shared" si="34"/>
        <v>132.704</v>
      </c>
      <c r="F43" s="155">
        <f t="shared" si="34"/>
        <v>132.704</v>
      </c>
      <c r="G43" s="155">
        <f t="shared" si="34"/>
        <v>132.704</v>
      </c>
      <c r="H43" s="155">
        <f t="shared" si="34"/>
        <v>132.704</v>
      </c>
      <c r="I43" s="155">
        <f t="shared" si="34"/>
        <v>132.704</v>
      </c>
      <c r="J43" s="155">
        <f t="shared" si="34"/>
        <v>132.704</v>
      </c>
    </row>
    <row r="44" spans="1:10" ht="12.75" hidden="1" outlineLevel="1">
      <c r="A44" s="81" t="s">
        <v>88</v>
      </c>
      <c r="B44" s="175"/>
      <c r="C44" s="154">
        <f aca="true" t="shared" si="35" ref="C44:I44">C41+C42-C43</f>
        <v>1327.04</v>
      </c>
      <c r="D44" s="154">
        <f t="shared" si="35"/>
        <v>1353.5808000000002</v>
      </c>
      <c r="E44" s="154">
        <f t="shared" si="35"/>
        <v>1194.336</v>
      </c>
      <c r="F44" s="154">
        <f t="shared" si="35"/>
        <v>1061.632</v>
      </c>
      <c r="G44" s="154">
        <f t="shared" si="35"/>
        <v>928.9280000000001</v>
      </c>
      <c r="H44" s="154">
        <f t="shared" si="35"/>
        <v>796.2240000000002</v>
      </c>
      <c r="I44" s="154">
        <f t="shared" si="35"/>
        <v>663.5200000000002</v>
      </c>
      <c r="J44" s="154">
        <f>J41+J42-J43</f>
        <v>530.8160000000003</v>
      </c>
    </row>
    <row r="45" spans="1:10" ht="12.75" hidden="1" outlineLevel="1">
      <c r="A45" s="79" t="s">
        <v>190</v>
      </c>
      <c r="C45" s="142"/>
      <c r="D45" s="142"/>
      <c r="E45" s="142"/>
      <c r="F45" s="142"/>
      <c r="G45" s="142"/>
      <c r="H45" s="142"/>
      <c r="I45" s="142"/>
      <c r="J45" s="142"/>
    </row>
    <row r="46" spans="1:10" ht="12.75" hidden="1" outlineLevel="1">
      <c r="A46" s="81" t="s">
        <v>84</v>
      </c>
      <c r="B46" s="176">
        <f>1/10</f>
        <v>0.1</v>
      </c>
      <c r="C46" s="81"/>
      <c r="D46" s="81"/>
      <c r="E46" s="81"/>
      <c r="F46" s="81"/>
      <c r="G46" s="81"/>
      <c r="H46" s="81"/>
      <c r="I46" s="81"/>
      <c r="J46" s="81"/>
    </row>
    <row r="47" spans="1:10" ht="12.75" hidden="1" outlineLevel="1">
      <c r="A47" s="81" t="s">
        <v>85</v>
      </c>
      <c r="B47" s="175"/>
      <c r="C47" s="154"/>
      <c r="D47" s="154">
        <f aca="true" t="shared" si="36" ref="D47:J47">C50</f>
        <v>0</v>
      </c>
      <c r="E47" s="154">
        <f t="shared" si="36"/>
        <v>0</v>
      </c>
      <c r="F47" s="154">
        <f t="shared" si="36"/>
        <v>0</v>
      </c>
      <c r="G47" s="154">
        <f t="shared" si="36"/>
        <v>0</v>
      </c>
      <c r="H47" s="154">
        <f t="shared" si="36"/>
        <v>0</v>
      </c>
      <c r="I47" s="154">
        <f t="shared" si="36"/>
        <v>0</v>
      </c>
      <c r="J47" s="154">
        <f t="shared" si="36"/>
        <v>0</v>
      </c>
    </row>
    <row r="48" spans="1:10" ht="12.75" hidden="1" outlineLevel="1">
      <c r="A48" s="81" t="s">
        <v>86</v>
      </c>
      <c r="B48" s="175"/>
      <c r="C48" s="154">
        <f>Инв!Q12/Исх!$C$19</f>
        <v>0</v>
      </c>
      <c r="D48" s="154"/>
      <c r="E48" s="154"/>
      <c r="F48" s="154"/>
      <c r="G48" s="154"/>
      <c r="H48" s="154"/>
      <c r="I48" s="154"/>
      <c r="J48" s="154"/>
    </row>
    <row r="49" spans="1:10" ht="12.75" hidden="1" outlineLevel="1">
      <c r="A49" s="156" t="s">
        <v>87</v>
      </c>
      <c r="B49" s="156"/>
      <c r="C49" s="155">
        <f>$C48*$B46/12*0</f>
        <v>0</v>
      </c>
      <c r="D49" s="155">
        <f aca="true" t="shared" si="37" ref="D49:J49">$C48*$B46</f>
        <v>0</v>
      </c>
      <c r="E49" s="155">
        <f t="shared" si="37"/>
        <v>0</v>
      </c>
      <c r="F49" s="155">
        <f t="shared" si="37"/>
        <v>0</v>
      </c>
      <c r="G49" s="155">
        <f t="shared" si="37"/>
        <v>0</v>
      </c>
      <c r="H49" s="155">
        <f t="shared" si="37"/>
        <v>0</v>
      </c>
      <c r="I49" s="155">
        <f t="shared" si="37"/>
        <v>0</v>
      </c>
      <c r="J49" s="155">
        <f t="shared" si="37"/>
        <v>0</v>
      </c>
    </row>
    <row r="50" spans="1:10" ht="12.75" hidden="1" outlineLevel="1">
      <c r="A50" s="81" t="s">
        <v>88</v>
      </c>
      <c r="B50" s="175"/>
      <c r="C50" s="154">
        <f aca="true" t="shared" si="38" ref="C50:I50">C47+C48-C49</f>
        <v>0</v>
      </c>
      <c r="D50" s="154">
        <f t="shared" si="38"/>
        <v>0</v>
      </c>
      <c r="E50" s="154">
        <f t="shared" si="38"/>
        <v>0</v>
      </c>
      <c r="F50" s="154">
        <f t="shared" si="38"/>
        <v>0</v>
      </c>
      <c r="G50" s="154">
        <f t="shared" si="38"/>
        <v>0</v>
      </c>
      <c r="H50" s="154">
        <f t="shared" si="38"/>
        <v>0</v>
      </c>
      <c r="I50" s="154">
        <f t="shared" si="38"/>
        <v>0</v>
      </c>
      <c r="J50" s="154">
        <f>J47+J48-J49</f>
        <v>0</v>
      </c>
    </row>
    <row r="51" ht="12.75" collapsed="1"/>
  </sheetData>
  <sheetProtection/>
  <printOptions/>
  <pageMargins left="0.44" right="0.4" top="0.51" bottom="0.3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2013-09-16T11:23:14Z</cp:lastPrinted>
  <dcterms:created xsi:type="dcterms:W3CDTF">2006-03-01T15:11:19Z</dcterms:created>
  <dcterms:modified xsi:type="dcterms:W3CDTF">2013-09-24T08:02:28Z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