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390" windowHeight="8445" tabRatio="633" activeTab="12"/>
  </bookViews>
  <sheets>
    <sheet name="1-Ф3" sheetId="1" r:id="rId1"/>
    <sheet name="2-ф2" sheetId="2" r:id="rId2"/>
    <sheet name="3-Баланс" sheetId="3" r:id="rId3"/>
    <sheet name="Исх" sheetId="4" r:id="rId4"/>
    <sheet name="Дох" sheetId="5" state="hidden" r:id="rId5"/>
    <sheet name="Расх перем" sheetId="6" r:id="rId6"/>
    <sheet name="Производство" sheetId="7" r:id="rId7"/>
    <sheet name="ФОТ" sheetId="8" r:id="rId8"/>
    <sheet name="Пост" sheetId="9" r:id="rId9"/>
    <sheet name="кр" sheetId="10" r:id="rId10"/>
    <sheet name="Инв" sheetId="11" r:id="rId11"/>
    <sheet name="безубыт" sheetId="12" r:id="rId12"/>
    <sheet name="Осн.пок-ли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</externalReferences>
  <definedNames>
    <definedName name="_kpn1" localSheetId="2">'[46]Главн'!$D$46</definedName>
    <definedName name="_kpn1">'[47]Главн'!$D$46</definedName>
    <definedName name="_kpn2" localSheetId="2">'[46]Главн'!$E$46</definedName>
    <definedName name="_kpn2">'[47]Главн'!$E$46</definedName>
    <definedName name="_kpn3" localSheetId="2">'[46]Главн'!$F$46</definedName>
    <definedName name="_kpn3">'[47]Главн'!$F$46</definedName>
    <definedName name="_kpn4" localSheetId="2">'[46]Главн'!$G$46</definedName>
    <definedName name="_kpn4">'[47]Главн'!$G$46</definedName>
    <definedName name="_kpn5" localSheetId="2">'[46]Главн'!$H$46</definedName>
    <definedName name="_kpn5">'[47]Главн'!$H$46</definedName>
    <definedName name="_kpn6" localSheetId="2">'[46]Главн'!$I$46</definedName>
    <definedName name="_kpn6">'[47]Главн'!$I$46</definedName>
    <definedName name="_kpn7" localSheetId="2">'[46]Главн'!$J$46</definedName>
    <definedName name="_kpn7">'[47]Главн'!$J$46</definedName>
    <definedName name="_kpn8" localSheetId="2">'[46]Главн'!$K$46</definedName>
    <definedName name="_kpn8">'[47]Главн'!$K$46</definedName>
    <definedName name="_nds1" localSheetId="2">'[46]Главн'!$D$42</definedName>
    <definedName name="_nds1">'[47]Главн'!$D$42</definedName>
    <definedName name="_nds2" localSheetId="2">'[46]Главн'!$E$42</definedName>
    <definedName name="_nds2">'[47]Главн'!$E$42</definedName>
    <definedName name="_nds3" localSheetId="2">'[46]Главн'!$F$42</definedName>
    <definedName name="_nds3">'[47]Главн'!$F$42</definedName>
    <definedName name="_nds4" localSheetId="2">'[46]Главн'!$G$42</definedName>
    <definedName name="_nds4">'[47]Главн'!$G$42</definedName>
    <definedName name="_nds5" localSheetId="2">'[46]Главн'!$H$42</definedName>
    <definedName name="_nds5">'[47]Главн'!$H$42</definedName>
    <definedName name="_nds6" localSheetId="2">'[46]Главн'!$I$42</definedName>
    <definedName name="_nds6">'[47]Главн'!$I$42</definedName>
    <definedName name="_xlfn.BAHTTEXT" hidden="1">#NAME?</definedName>
    <definedName name="areket" localSheetId="2">#REF!</definedName>
    <definedName name="areket">#REF!</definedName>
    <definedName name="areket2" localSheetId="2">#REF!</definedName>
    <definedName name="areket2">#REF!</definedName>
    <definedName name="cfb">'[3]NPV'!$F$18</definedName>
    <definedName name="curr" localSheetId="2">#REF!</definedName>
    <definedName name="curr">#REF!</definedName>
    <definedName name="DcB">'[11]Дин. оборотн. ср-в!!!'!$B$17+'[11]Дин. оборотн. ср-в!!!'!$B$18+'[11]Дин. оборотн. ср-в!!!'!$B$19+'[11]Дин. оборотн. ср-в!!!'!$B$20</definedName>
    <definedName name="DcF">'[11]Дин. оборотн. ср-в!!!'!$F$17+'[11]Дин. оборотн. ср-в!!!'!$F$18+'[11]Дин. оборотн. ср-в!!!'!$F$19+'[11]Дин. оборотн. ср-в!!!'!$F$20</definedName>
    <definedName name="DF">'[11]Дин. оборотн. ср-в!!!'!$F$25+'[11]Дин. оборотн. ср-в!!!'!$F$26+'[11]Дин. оборотн. ср-в!!!'!$F$27+'[11]Дин. оборотн. ср-в!!!'!$F$28+'[11]Дин. оборотн. ср-в!!!'!$F$29+'[11]Дин. оборотн. ср-в!!!'!$F$30+'[11]Дин. оборотн. ср-в!!!'!$F$31</definedName>
    <definedName name="DG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</definedName>
    <definedName name="Ed." localSheetId="2">#REF!</definedName>
    <definedName name="Ed." localSheetId="4">#REF!</definedName>
    <definedName name="Ed." localSheetId="8">#REF!</definedName>
    <definedName name="Ed." localSheetId="6">#REF!</definedName>
    <definedName name="Ed." localSheetId="5">#REF!</definedName>
    <definedName name="Ed." localSheetId="7">#REF!</definedName>
    <definedName name="Ed.">#REF!</definedName>
    <definedName name="EUR">'[7]Свод'!$C$9</definedName>
    <definedName name="EURO">'[12]Осн. пара'!$C$8</definedName>
    <definedName name="imush1" localSheetId="2">'[46]Главн'!$D$44</definedName>
    <definedName name="imush1" localSheetId="9">'[32]Главн'!$D$44</definedName>
    <definedName name="imush1" localSheetId="6">'[59]Главн'!$D$44</definedName>
    <definedName name="imush1">'[21]Главн'!$D$44</definedName>
    <definedName name="imush2" localSheetId="2">'[46]Главн'!$E$44</definedName>
    <definedName name="imush2" localSheetId="9">'[32]Главн'!$E$44</definedName>
    <definedName name="imush2" localSheetId="6">'[59]Главн'!$E$44</definedName>
    <definedName name="imush2">'[21]Главн'!$E$44</definedName>
    <definedName name="imush3" localSheetId="2">'[46]Главн'!$F$44</definedName>
    <definedName name="imush3" localSheetId="9">'[32]Главн'!$F$44</definedName>
    <definedName name="imush3" localSheetId="6">'[59]Главн'!$F$44</definedName>
    <definedName name="imush3">'[21]Главн'!$F$44</definedName>
    <definedName name="imush4" localSheetId="2">'[46]Главн'!$G$44</definedName>
    <definedName name="imush4" localSheetId="9">'[32]Главн'!$G$44</definedName>
    <definedName name="imush4" localSheetId="6">'[59]Главн'!$G$44</definedName>
    <definedName name="imush4">'[21]Главн'!$G$44</definedName>
    <definedName name="imush5" localSheetId="2">'[46]Главн'!$H$44</definedName>
    <definedName name="imush5" localSheetId="9">'[32]Главн'!$H$44</definedName>
    <definedName name="imush5" localSheetId="6">'[59]Главн'!$H$44</definedName>
    <definedName name="imush5">'[21]Главн'!$H$44</definedName>
    <definedName name="imush6" localSheetId="2">'[46]Главн'!$I$44</definedName>
    <definedName name="imush6" localSheetId="9">'[32]Главн'!$I$44</definedName>
    <definedName name="imush6" localSheetId="6">'[59]Главн'!$I$44</definedName>
    <definedName name="imush6">'[21]Главн'!$I$44</definedName>
    <definedName name="imush7" localSheetId="2">'[46]Главн'!$J$44</definedName>
    <definedName name="imush7" localSheetId="9">'[32]Главн'!$J$44</definedName>
    <definedName name="imush7" localSheetId="6">'[59]Главн'!$J$44</definedName>
    <definedName name="imush7">'[21]Главн'!$J$44</definedName>
    <definedName name="imush8" localSheetId="2">'[46]Главн'!$K$44</definedName>
    <definedName name="imush8" localSheetId="9">'[32]Главн'!$K$44</definedName>
    <definedName name="imush8" localSheetId="6">'[59]Главн'!$K$44</definedName>
    <definedName name="imush8">'[21]Главн'!$K$44</definedName>
    <definedName name="inf" localSheetId="2">'[46]Главн'!$C$35</definedName>
    <definedName name="inf" localSheetId="9">'[32]Главн'!$C$35</definedName>
    <definedName name="inf" localSheetId="6">'[59]Главн'!$C$35</definedName>
    <definedName name="inf">'[21]Главн'!$C$35</definedName>
    <definedName name="kpn1" localSheetId="9">'[32]Главн'!$D$46</definedName>
    <definedName name="kpn1" localSheetId="6">'[59]Главн'!$D$46</definedName>
    <definedName name="kpn1">'[21]Главн'!$D$46</definedName>
    <definedName name="kpn2" localSheetId="9">'[32]Главн'!$E$46</definedName>
    <definedName name="kpn2" localSheetId="6">'[59]Главн'!$E$46</definedName>
    <definedName name="kpn2">'[21]Главн'!$E$46</definedName>
    <definedName name="kpn3" localSheetId="9">'[32]Главн'!$F$46</definedName>
    <definedName name="kpn3" localSheetId="6">'[59]Главн'!$F$46</definedName>
    <definedName name="kpn3">'[21]Главн'!$F$46</definedName>
    <definedName name="kpn4" localSheetId="9">'[32]Главн'!$G$46</definedName>
    <definedName name="kpn4" localSheetId="6">'[59]Главн'!$G$46</definedName>
    <definedName name="kpn4">'[21]Главн'!$G$46</definedName>
    <definedName name="kpn5" localSheetId="9">'[32]Главн'!$H$46</definedName>
    <definedName name="kpn5" localSheetId="6">'[59]Главн'!$H$46</definedName>
    <definedName name="kpn5">'[21]Главн'!$H$46</definedName>
    <definedName name="kpn6" localSheetId="9">'[32]Главн'!$I$46</definedName>
    <definedName name="kpn6" localSheetId="6">'[59]Главн'!$I$46</definedName>
    <definedName name="kpn6">'[21]Главн'!$I$46</definedName>
    <definedName name="kpn7" localSheetId="9">'[32]Главн'!$J$46</definedName>
    <definedName name="kpn7" localSheetId="6">'[59]Главн'!$J$46</definedName>
    <definedName name="kpn7">'[21]Главн'!$J$46</definedName>
    <definedName name="kpn8" localSheetId="9">'[32]Главн'!$K$46</definedName>
    <definedName name="kpn8" localSheetId="6">'[59]Главн'!$K$46</definedName>
    <definedName name="kpn8">'[21]Главн'!$K$46</definedName>
    <definedName name="kurs" localSheetId="2">#REF!</definedName>
    <definedName name="kurs">#REF!</definedName>
    <definedName name="kurs2" localSheetId="2">'[46]Главн'!$C$31</definedName>
    <definedName name="kurs2" localSheetId="9">'[32]Главн'!$C$31</definedName>
    <definedName name="kurs2" localSheetId="6">'[59]Главн'!$C$31</definedName>
    <definedName name="kurs2">'[21]Главн'!$C$31</definedName>
    <definedName name="lgot1" localSheetId="2">'[46]Главн'!$D$41</definedName>
    <definedName name="lgot1" localSheetId="9">'[32]Главн'!$D$41</definedName>
    <definedName name="lgot1" localSheetId="6">'[59]Главн'!$D$41</definedName>
    <definedName name="lgot1">'[21]Главн'!$D$41</definedName>
    <definedName name="lgot2" localSheetId="2">'[46]Главн'!$E$41</definedName>
    <definedName name="lgot2" localSheetId="9">'[32]Главн'!$E$41</definedName>
    <definedName name="lgot2" localSheetId="6">'[59]Главн'!$E$41</definedName>
    <definedName name="lgot2">'[21]Главн'!$E$41</definedName>
    <definedName name="lgot3" localSheetId="2">'[46]Главн'!$F$41</definedName>
    <definedName name="lgot3" localSheetId="9">'[32]Главн'!$F$41</definedName>
    <definedName name="lgot3" localSheetId="6">'[59]Главн'!$F$41</definedName>
    <definedName name="lgot3">'[21]Главн'!$F$41</definedName>
    <definedName name="lgot4" localSheetId="2">'[46]Главн'!$G$41</definedName>
    <definedName name="lgot4" localSheetId="9">'[32]Главн'!$G$41</definedName>
    <definedName name="lgot4" localSheetId="6">'[59]Главн'!$G$41</definedName>
    <definedName name="lgot4">'[21]Главн'!$G$41</definedName>
    <definedName name="lgot5" localSheetId="2">'[46]Главн'!$H$41</definedName>
    <definedName name="lgot5" localSheetId="9">'[32]Главн'!$H$41</definedName>
    <definedName name="lgot5" localSheetId="6">'[59]Главн'!$H$41</definedName>
    <definedName name="lgot5">'[21]Главн'!$H$41</definedName>
    <definedName name="name" localSheetId="2">'[46]Главн'!$C$2</definedName>
    <definedName name="name" localSheetId="9">'[32]Главн'!$C$2</definedName>
    <definedName name="name" localSheetId="6">'[59]Главн'!$C$2</definedName>
    <definedName name="name">'[21]Главн'!$C$2</definedName>
    <definedName name="nds1" localSheetId="9">'[32]Главн'!$D$42</definedName>
    <definedName name="nds1" localSheetId="6">'[59]Главн'!$D$42</definedName>
    <definedName name="nds1">'[21]Главн'!$D$42</definedName>
    <definedName name="nds2" localSheetId="9">'[32]Главн'!$E$42</definedName>
    <definedName name="nds2" localSheetId="6">'[59]Главн'!$E$42</definedName>
    <definedName name="nds2">'[21]Главн'!$E$42</definedName>
    <definedName name="nds3" localSheetId="9">'[32]Главн'!$F$42</definedName>
    <definedName name="nds3" localSheetId="6">'[59]Главн'!$F$42</definedName>
    <definedName name="nds3">'[21]Главн'!$F$42</definedName>
    <definedName name="nds4" localSheetId="9">'[32]Главн'!$G$42</definedName>
    <definedName name="nds4" localSheetId="6">'[59]Главн'!$G$42</definedName>
    <definedName name="nds4">'[21]Главн'!$G$42</definedName>
    <definedName name="nds5" localSheetId="9">'[32]Главн'!$H$42</definedName>
    <definedName name="nds5" localSheetId="6">'[59]Главн'!$H$42</definedName>
    <definedName name="nds5">'[21]Главн'!$H$42</definedName>
    <definedName name="nds6" localSheetId="9">'[32]Главн'!$I$42</definedName>
    <definedName name="nds6" localSheetId="6">'[59]Главн'!$I$42</definedName>
    <definedName name="nds6">'[21]Главн'!$I$42</definedName>
    <definedName name="price">'[7]Свод'!$C$11</definedName>
    <definedName name="remont" localSheetId="2">'[46]Амортиз'!$F$125</definedName>
    <definedName name="remont" localSheetId="9">'[32]Амортиз'!$F$125</definedName>
    <definedName name="remont" localSheetId="6">'[59]Амортиз'!$F$125</definedName>
    <definedName name="remont">'[21]Амортиз'!$F$125</definedName>
    <definedName name="RUR" localSheetId="2">'[7]Свод'!#REF!</definedName>
    <definedName name="RUR" localSheetId="4">'[7]Свод'!#REF!</definedName>
    <definedName name="RUR" localSheetId="8">'[7]Свод'!#REF!</definedName>
    <definedName name="RUR" localSheetId="6">'[7]Свод'!#REF!</definedName>
    <definedName name="RUR" localSheetId="5">'[7]Свод'!#REF!</definedName>
    <definedName name="RUR" localSheetId="7">'[7]Свод'!#REF!</definedName>
    <definedName name="RUR">'[7]Свод'!#REF!</definedName>
    <definedName name="USD" localSheetId="9">'[7]Свод'!#REF!</definedName>
    <definedName name="USD">'[12]Осн. пара'!$C$4</definedName>
    <definedName name="valuta" localSheetId="2">'[46]Главн'!$C$21</definedName>
    <definedName name="valuta" localSheetId="9">'[32]Главн'!$C$21</definedName>
    <definedName name="valuta" localSheetId="6">'[59]Главн'!$C$21</definedName>
    <definedName name="valuta">'[21]Главн'!$C$21</definedName>
    <definedName name="valuta2" localSheetId="2">'[46]Главн'!$C$19</definedName>
    <definedName name="valuta2" localSheetId="9">'[32]Главн'!$C$19</definedName>
    <definedName name="valuta2" localSheetId="6">'[59]Главн'!$C$19</definedName>
    <definedName name="valuta2">'[21]Главн'!$C$19</definedName>
    <definedName name="Z_9D8A7FE8_EB32_11D6_AAD8_00E04C390749_.wvu.Cols" localSheetId="2" hidden="1">#REF!</definedName>
    <definedName name="Z_9D8A7FE8_EB32_11D6_AAD8_00E04C390749_.wvu.Cols" hidden="1">#REF!</definedName>
    <definedName name="АвПокуп" localSheetId="2">#REF!</definedName>
    <definedName name="АвПокуп">#REF!</definedName>
    <definedName name="АвПокуп1" localSheetId="2">#REF!</definedName>
    <definedName name="АвПокуп1">#REF!</definedName>
    <definedName name="АвПост" localSheetId="2">#REF!</definedName>
    <definedName name="АвПост">#REF!</definedName>
    <definedName name="АвПост1" localSheetId="2">#REF!</definedName>
    <definedName name="АвПост1">#REF!</definedName>
    <definedName name="адм" localSheetId="2">#REF!</definedName>
    <definedName name="адм" localSheetId="9">#REF!</definedName>
    <definedName name="адм" localSheetId="6">#REF!</definedName>
    <definedName name="адм">#REF!</definedName>
    <definedName name="арекет" localSheetId="0">#REF!</definedName>
    <definedName name="арекет" localSheetId="2">#REF!</definedName>
    <definedName name="арекет">#REF!</definedName>
    <definedName name="арекет2" localSheetId="0">#REF!</definedName>
    <definedName name="арекет2" localSheetId="2">#REF!</definedName>
    <definedName name="арекет2">#REF!</definedName>
    <definedName name="арекет3" localSheetId="0">#REF!</definedName>
    <definedName name="арекет3" localSheetId="2">#REF!</definedName>
    <definedName name="арекет3">#REF!</definedName>
    <definedName name="арэк" localSheetId="0">#REF!</definedName>
    <definedName name="арэк" localSheetId="2">#REF!</definedName>
    <definedName name="арэк">#REF!</definedName>
    <definedName name="арэк2" localSheetId="0">#REF!</definedName>
    <definedName name="арэк2" localSheetId="2">#REF!</definedName>
    <definedName name="арэк2">#REF!</definedName>
    <definedName name="арэк3" localSheetId="0">#REF!</definedName>
    <definedName name="арэк3" localSheetId="2">#REF!</definedName>
    <definedName name="арэк3">#REF!</definedName>
    <definedName name="аств" localSheetId="0">#REF!</definedName>
    <definedName name="аств" localSheetId="2">#REF!</definedName>
    <definedName name="аств">#REF!</definedName>
    <definedName name="аств2" localSheetId="0">#REF!</definedName>
    <definedName name="аств2" localSheetId="2">#REF!</definedName>
    <definedName name="аств2">#REF!</definedName>
    <definedName name="аств3" localSheetId="0">#REF!</definedName>
    <definedName name="аств3" localSheetId="2">#REF!</definedName>
    <definedName name="аств3">#REF!</definedName>
    <definedName name="атырау" localSheetId="0">#REF!</definedName>
    <definedName name="атырау" localSheetId="2">#REF!</definedName>
    <definedName name="атырау">#REF!</definedName>
    <definedName name="атырау2" localSheetId="0">#REF!</definedName>
    <definedName name="атырау2" localSheetId="2">#REF!</definedName>
    <definedName name="атырау2">#REF!</definedName>
    <definedName name="атырау3" localSheetId="0">#REF!</definedName>
    <definedName name="атырау3" localSheetId="2">#REF!</definedName>
    <definedName name="атырау3">#REF!</definedName>
    <definedName name="баланс_стоимость" localSheetId="2">'[48]объекты обществаКокшетау'!#REF!</definedName>
    <definedName name="баланс_стоимость" localSheetId="4">'[23]объекты обществаКокшетау'!#REF!</definedName>
    <definedName name="баланс_стоимость" localSheetId="9">'[34]объекты обществаКокшетау'!#REF!</definedName>
    <definedName name="баланс_стоимость" localSheetId="8">'[23]объекты обществаКокшетау'!#REF!</definedName>
    <definedName name="баланс_стоимость" localSheetId="6">'[61]объекты обществаКокшетау'!#REF!</definedName>
    <definedName name="баланс_стоимость" localSheetId="5">'[23]объекты обществаКокшетау'!#REF!</definedName>
    <definedName name="баланс_стоимость" localSheetId="7">'[23]объекты обществаКокшетау'!#REF!</definedName>
    <definedName name="баланс_стоимость">'[23]объекты обществаКокшетау'!#REF!</definedName>
    <definedName name="бву">'[2]Фин. пок-ли'!$C$17</definedName>
    <definedName name="ВА1" localSheetId="2">#REF!</definedName>
    <definedName name="ВА1">#REF!</definedName>
    <definedName name="Вал" localSheetId="2">#REF!</definedName>
    <definedName name="Вал" localSheetId="9">#REF!</definedName>
    <definedName name="Вал" localSheetId="6">#REF!</definedName>
    <definedName name="Вал">#REF!</definedName>
    <definedName name="ВалП1" localSheetId="2">#REF!</definedName>
    <definedName name="ВалП1" localSheetId="4">#REF!</definedName>
    <definedName name="ВалП1" localSheetId="8">#REF!</definedName>
    <definedName name="ВалП1" localSheetId="6">#REF!</definedName>
    <definedName name="ВалП1" localSheetId="5">#REF!</definedName>
    <definedName name="ВалП1" localSheetId="7">#REF!</definedName>
    <definedName name="ВалП1">#REF!</definedName>
    <definedName name="Валюта" localSheetId="2">#REF!</definedName>
    <definedName name="Валюта">#REF!</definedName>
    <definedName name="вид_инвестиций" localSheetId="2">'[46]Invest'!$C$7:$C$240</definedName>
    <definedName name="вид_инвестиций" localSheetId="9">'[32]Invest'!$C$7:$C$240</definedName>
    <definedName name="вид_инвестиций" localSheetId="6">'[59]Invest'!$C$7:$C$240</definedName>
    <definedName name="вид_инвестиций">'[21]Invest'!$C$7:$C$240</definedName>
    <definedName name="Вита_осн">'[10]ИсхД+'!$A$2</definedName>
    <definedName name="ВК" localSheetId="2">#REF!</definedName>
    <definedName name="ВК">#REF!</definedName>
    <definedName name="ВК1" localSheetId="2">#REF!</definedName>
    <definedName name="ВК1">#REF!</definedName>
    <definedName name="ВК2" localSheetId="2">#REF!</definedName>
    <definedName name="ВК2">#REF!</definedName>
    <definedName name="ВК3" localSheetId="2">#REF!</definedName>
    <definedName name="ВК3">#REF!</definedName>
    <definedName name="вложения" localSheetId="2">'[46]Граф кап инвестиц'!$B$8:$B$12</definedName>
    <definedName name="вложения" localSheetId="9">'[32]Граф кап инвестиц'!$B$8:$B$12</definedName>
    <definedName name="вложения" localSheetId="6">'[59]Граф кап инвестиц'!$B$8:$B$12</definedName>
    <definedName name="вложения">'[21]Граф кап инвестиц'!$B$8:$B$12</definedName>
    <definedName name="ВР1" localSheetId="2">#REF!</definedName>
    <definedName name="ВР1">#REF!</definedName>
    <definedName name="ВРО1" localSheetId="2">#REF!</definedName>
    <definedName name="ВРО1">#REF!</definedName>
    <definedName name="всего_долл" localSheetId="2">'[48]объекты обществаКокшетау'!#REF!</definedName>
    <definedName name="всего_долл" localSheetId="4">'[23]объекты обществаКокшетау'!#REF!</definedName>
    <definedName name="всего_долл" localSheetId="9">'[34]объекты обществаКокшетау'!#REF!</definedName>
    <definedName name="всего_долл" localSheetId="8">'[23]объекты обществаКокшетау'!#REF!</definedName>
    <definedName name="всего_долл" localSheetId="6">'[61]объекты обществаКокшетау'!#REF!</definedName>
    <definedName name="всего_долл" localSheetId="5">'[23]объекты обществаКокшетау'!#REF!</definedName>
    <definedName name="всего_долл" localSheetId="7">'[23]объекты обществаКокшетау'!#REF!</definedName>
    <definedName name="всего_долл">'[23]объекты обществаКокшетау'!#REF!</definedName>
    <definedName name="газсервис" localSheetId="0">#REF!</definedName>
    <definedName name="газсервис" localSheetId="2">#REF!</definedName>
    <definedName name="газсервис">#REF!</definedName>
    <definedName name="газсервис2" localSheetId="0">#REF!</definedName>
    <definedName name="газсервис2" localSheetId="2">#REF!</definedName>
    <definedName name="газсервис2">#REF!</definedName>
    <definedName name="газсервис3" localSheetId="0">#REF!</definedName>
    <definedName name="газсервис3" localSheetId="2">#REF!</definedName>
    <definedName name="газсервис3">#REF!</definedName>
    <definedName name="год">'[5]Осн.показ'!$D$8</definedName>
    <definedName name="год1">'[5]Осн.показ'!$D$9</definedName>
    <definedName name="ГотПр" localSheetId="2">#REF!</definedName>
    <definedName name="ГотПр">#REF!</definedName>
    <definedName name="ГотПр1" localSheetId="2">#REF!</definedName>
    <definedName name="ГотПр1">#REF!</definedName>
    <definedName name="д" localSheetId="2">#REF!</definedName>
    <definedName name="д">#REF!</definedName>
    <definedName name="Дебиторская__задолженность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ср-в!!!'!$B$31+'[11]Дин. оборотн. ср-в!!!'!$B$33</definedName>
    <definedName name="Дебиторская_задолженность_Ст_сть_всех_активов">'[11]Уровень показателей!!!'!$E$18/'[11]Б3!!!'!$C$58</definedName>
    <definedName name="ДЗ" localSheetId="2">#REF!</definedName>
    <definedName name="ДЗ">#REF!</definedName>
    <definedName name="ДЗ1" localSheetId="2">#REF!</definedName>
    <definedName name="ДЗ1">#REF!</definedName>
    <definedName name="дз1к">'[11]Б1'!$D$34+'[11]Б1'!$D$35+'[11]Б1'!$D$36+'[11]Б1'!$D$37+'[11]Б1'!$D$38+'[11]Б1'!$D$39</definedName>
    <definedName name="дз1н">'[11]Б1'!$C$34++'[11]Б1'!$C$35+'[11]Б1'!$C$36+'[11]Б1'!$C$37+'[11]Б1'!$C$38+'[11]Б1'!$C$39</definedName>
    <definedName name="дз94к" localSheetId="2">'[11]Б1'!#REF!+'[11]Б1'!#REF!+'[11]Б1'!#REF!+'[11]Б1'!#REF!+'[11]Б1'!#REF!+'[11]Б1'!#REF!+'[11]Б1'!#REF!</definedName>
    <definedName name="дз94к" localSheetId="4">'[11]Б1'!#REF!+'[11]Б1'!#REF!+'[11]Б1'!#REF!+'[11]Б1'!#REF!+'[11]Б1'!#REF!+'[11]Б1'!#REF!+'[11]Б1'!#REF!</definedName>
    <definedName name="дз94к" localSheetId="8">'[11]Б1'!#REF!+'[11]Б1'!#REF!+'[11]Б1'!#REF!+'[11]Б1'!#REF!+'[11]Б1'!#REF!+'[11]Б1'!#REF!+'[11]Б1'!#REF!</definedName>
    <definedName name="дз94к" localSheetId="6">'[11]Б1'!#REF!+'[11]Б1'!#REF!+'[11]Б1'!#REF!+'[11]Б1'!#REF!+'[11]Б1'!#REF!+'[11]Б1'!#REF!+'[11]Б1'!#REF!</definedName>
    <definedName name="дз94к" localSheetId="5">'[11]Б1'!#REF!+'[11]Б1'!#REF!+'[11]Б1'!#REF!+'[11]Б1'!#REF!+'[11]Б1'!#REF!+'[11]Б1'!#REF!+'[11]Б1'!#REF!</definedName>
    <definedName name="дз94к" localSheetId="7">'[11]Б1'!#REF!+'[11]Б1'!#REF!+'[11]Б1'!#REF!+'[11]Б1'!#REF!+'[11]Б1'!#REF!+'[11]Б1'!#REF!+'[11]Б1'!#REF!</definedName>
    <definedName name="дз94к">'[11]Б1'!#REF!+'[11]Б1'!#REF!+'[11]Б1'!#REF!+'[11]Б1'!#REF!+'[11]Б1'!#REF!+'[11]Б1'!#REF!+'[11]Б1'!#REF!</definedName>
    <definedName name="дз94н" localSheetId="2">'[11]Б1'!#REF!+'[11]Б1'!#REF!+'[11]Б1'!#REF!+'[11]Б1'!#REF!+'[11]Б1'!#REF!+'[11]Б1'!#REF!+'[11]Б1'!#REF!</definedName>
    <definedName name="дз94н" localSheetId="4">'[11]Б1'!#REF!+'[11]Б1'!#REF!+'[11]Б1'!#REF!+'[11]Б1'!#REF!+'[11]Б1'!#REF!+'[11]Б1'!#REF!+'[11]Б1'!#REF!</definedName>
    <definedName name="дз94н" localSheetId="8">'[11]Б1'!#REF!+'[11]Б1'!#REF!+'[11]Б1'!#REF!+'[11]Б1'!#REF!+'[11]Б1'!#REF!+'[11]Б1'!#REF!+'[11]Б1'!#REF!</definedName>
    <definedName name="дз94н" localSheetId="6">'[11]Б1'!#REF!+'[11]Б1'!#REF!+'[11]Б1'!#REF!+'[11]Б1'!#REF!+'[11]Б1'!#REF!+'[11]Б1'!#REF!+'[11]Б1'!#REF!</definedName>
    <definedName name="дз94н" localSheetId="5">'[11]Б1'!#REF!+'[11]Б1'!#REF!+'[11]Б1'!#REF!+'[11]Б1'!#REF!+'[11]Б1'!#REF!+'[11]Б1'!#REF!+'[11]Б1'!#REF!</definedName>
    <definedName name="дз94н" localSheetId="7">'[11]Б1'!#REF!+'[11]Б1'!#REF!+'[11]Б1'!#REF!+'[11]Б1'!#REF!+'[11]Б1'!#REF!+'[11]Б1'!#REF!+'[11]Б1'!#REF!</definedName>
    <definedName name="дз94н">'[11]Б1'!#REF!+'[11]Б1'!#REF!+'[11]Б1'!#REF!+'[11]Б1'!#REF!+'[11]Б1'!#REF!+'[11]Б1'!#REF!+'[11]Б1'!#REF!</definedName>
    <definedName name="ДК1" localSheetId="2">#REF!</definedName>
    <definedName name="ДК1">#REF!</definedName>
    <definedName name="дол" localSheetId="2">#REF!</definedName>
    <definedName name="дол">#REF!</definedName>
    <definedName name="долл" localSheetId="2">#REF!</definedName>
    <definedName name="долл" localSheetId="4">#REF!</definedName>
    <definedName name="долл" localSheetId="9">'[35]Исх'!$C$16</definedName>
    <definedName name="долл" localSheetId="8">#REF!</definedName>
    <definedName name="долл" localSheetId="6">#REF!</definedName>
    <definedName name="долл" localSheetId="5">#REF!</definedName>
    <definedName name="долл" localSheetId="7">'ФОТ'!#REF!</definedName>
    <definedName name="долл">#REF!</definedName>
    <definedName name="доллар" localSheetId="2">'[49]Параметры'!$C$18</definedName>
    <definedName name="доллар" localSheetId="9">'[36]Параметры'!$C$18</definedName>
    <definedName name="доллар" localSheetId="6">'[62]Параметры'!$C$18</definedName>
    <definedName name="доллар">'[25]Параметры'!$C$18</definedName>
    <definedName name="дох" localSheetId="2">#REF!</definedName>
    <definedName name="дох" localSheetId="9">#REF!</definedName>
    <definedName name="дох" localSheetId="6">#REF!</definedName>
    <definedName name="дох">#REF!</definedName>
    <definedName name="дсша" localSheetId="2">#REF!</definedName>
    <definedName name="дсша" localSheetId="4">#REF!</definedName>
    <definedName name="дсша" localSheetId="9">#REF!</definedName>
    <definedName name="дсша" localSheetId="8">#REF!</definedName>
    <definedName name="дсша" localSheetId="6">#REF!</definedName>
    <definedName name="дсша" localSheetId="5">#REF!</definedName>
    <definedName name="дсша" localSheetId="7">#REF!</definedName>
    <definedName name="дсша">#REF!</definedName>
    <definedName name="дт" localSheetId="2">'[50]пост. пар.'!$C$13</definedName>
    <definedName name="дт" localSheetId="9">'[37]пост. пар.'!$C$13</definedName>
    <definedName name="дт" localSheetId="6">'[63]пост. пар.'!$C$13</definedName>
    <definedName name="дт">'[26]пост. пар.'!$C$13</definedName>
    <definedName name="евр">'[5]Осн.показ'!$D$13</definedName>
    <definedName name="евро" localSheetId="2">#REF!</definedName>
    <definedName name="евро" localSheetId="12">'[8]Общ_Д'!$B$16</definedName>
    <definedName name="евро">#REF!</definedName>
    <definedName name="ждд" localSheetId="2">#REF!</definedName>
    <definedName name="ждд" localSheetId="9">#REF!</definedName>
    <definedName name="ждд" localSheetId="6">#REF!</definedName>
    <definedName name="ждд">#REF!</definedName>
    <definedName name="_xlnm.Print_Titles" localSheetId="1">'2-ф2'!$A:$A</definedName>
    <definedName name="_xlnm.Print_Titles" localSheetId="2">'3-Баланс'!$A:$A</definedName>
    <definedName name="_xlnm.Print_Titles" localSheetId="10">'Инв'!$4:$4</definedName>
    <definedName name="_xlnm.Print_Titles" localSheetId="9">'кр'!$A:$B</definedName>
    <definedName name="_xlnm.Print_Titles" localSheetId="6">'Производство'!$A:$A</definedName>
    <definedName name="_xlnm.Print_Titles" localSheetId="7">'ФОТ'!$4:$4</definedName>
    <definedName name="Зап" localSheetId="2">#REF!</definedName>
    <definedName name="Зап">#REF!</definedName>
    <definedName name="Зап1" localSheetId="2">#REF!</definedName>
    <definedName name="Зап1">#REF!</definedName>
    <definedName name="имя" localSheetId="2">#REF!</definedName>
    <definedName name="имя">#REF!</definedName>
    <definedName name="Инвестор1" localSheetId="2">'[46]Главн'!$C$8</definedName>
    <definedName name="Инвестор1" localSheetId="9">'[32]Главн'!$C$8</definedName>
    <definedName name="Инвестор1" localSheetId="6">'[59]Главн'!$C$8</definedName>
    <definedName name="Инвестор1">'[21]Главн'!$C$8</definedName>
    <definedName name="Инвестор2" localSheetId="2">'[46]Главн'!$C$9</definedName>
    <definedName name="Инвестор2" localSheetId="9">'[32]Главн'!$C$9</definedName>
    <definedName name="Инвестор2" localSheetId="6">'[59]Главн'!$C$9</definedName>
    <definedName name="Инвестор2">'[21]Главн'!$C$9</definedName>
    <definedName name="Инвестор3" localSheetId="2">'[46]Главн'!$C$10</definedName>
    <definedName name="Инвестор3" localSheetId="9">'[32]Главн'!$C$10</definedName>
    <definedName name="Инвестор3" localSheetId="6">'[59]Главн'!$C$10</definedName>
    <definedName name="Инвестор3">'[21]Главн'!$C$10</definedName>
    <definedName name="инициатор" localSheetId="2">'[46]Главн'!$C$7</definedName>
    <definedName name="инициатор" localSheetId="9">'[32]Главн'!$C$7</definedName>
    <definedName name="инициатор" localSheetId="6">'[59]Главн'!$C$7</definedName>
    <definedName name="инициатор">'[21]Главн'!$C$7</definedName>
    <definedName name="Инт" localSheetId="2">#REF!</definedName>
    <definedName name="Инт" localSheetId="4">#REF!</definedName>
    <definedName name="Инт" localSheetId="8">#REF!</definedName>
    <definedName name="Инт" localSheetId="6">#REF!</definedName>
    <definedName name="Инт" localSheetId="5">#REF!</definedName>
    <definedName name="Инт" localSheetId="7">#REF!</definedName>
    <definedName name="Инт">#REF!</definedName>
    <definedName name="итого_в_долл" localSheetId="2">'[48]объекты обществаКокшетау'!#REF!</definedName>
    <definedName name="итого_в_долл" localSheetId="4">'[23]объекты обществаКокшетау'!#REF!</definedName>
    <definedName name="итого_в_долл" localSheetId="9">'[34]объекты обществаКокшетау'!#REF!</definedName>
    <definedName name="итого_в_долл" localSheetId="8">'[23]объекты обществаКокшетау'!#REF!</definedName>
    <definedName name="итого_в_долл" localSheetId="6">'[61]объекты обществаКокшетау'!#REF!</definedName>
    <definedName name="итого_в_долл" localSheetId="5">'[23]объекты обществаКокшетау'!#REF!</definedName>
    <definedName name="итого_в_долл" localSheetId="7">'[23]объекты обществаКокшетау'!#REF!</definedName>
    <definedName name="итого_в_долл">'[23]объекты обществаКокшетау'!#REF!</definedName>
    <definedName name="июль" localSheetId="2">#REF!</definedName>
    <definedName name="июль" localSheetId="9">#REF!</definedName>
    <definedName name="июль" localSheetId="6">#REF!</definedName>
    <definedName name="июль">#REF!</definedName>
    <definedName name="Каламкас" localSheetId="2">'[27]объекты обществаКокшетау'!#REF!</definedName>
    <definedName name="Каламкас" localSheetId="4">'[27]объекты обществаКокшетау'!#REF!</definedName>
    <definedName name="Каламкас" localSheetId="8">'[27]объекты обществаКокшетау'!#REF!</definedName>
    <definedName name="Каламкас" localSheetId="6">'[27]объекты обществаКокшетау'!#REF!</definedName>
    <definedName name="Каламкас" localSheetId="5">'[27]объекты обществаКокшетау'!#REF!</definedName>
    <definedName name="Каламкас" localSheetId="7">'[27]объекты обществаКокшетау'!#REF!</definedName>
    <definedName name="Каламкас">'[27]объекты обществаКокшетау'!#REF!</definedName>
    <definedName name="кндс" localSheetId="2">#REF!</definedName>
    <definedName name="кндс" localSheetId="4">#REF!</definedName>
    <definedName name="кндс" localSheetId="9">'[5]Осн.показ'!$D$15</definedName>
    <definedName name="кндс" localSheetId="8">#REF!</definedName>
    <definedName name="кндс" localSheetId="6">#REF!</definedName>
    <definedName name="кндс" localSheetId="5">#REF!</definedName>
    <definedName name="кндс" localSheetId="7">'ФОТ'!#REF!</definedName>
    <definedName name="кндс">#REF!</definedName>
    <definedName name="кндс1" localSheetId="2">'[51]Исх'!$C$8</definedName>
    <definedName name="кндс1" localSheetId="11">'[17]Исх'!$C$8</definedName>
    <definedName name="кндс1" localSheetId="9">'[35]Исх'!$C$8</definedName>
    <definedName name="кндс1" localSheetId="6">'[65]Исх'!$C$8</definedName>
    <definedName name="кндс1">'[15]Исх'!$C$8</definedName>
    <definedName name="Код" localSheetId="2">#REF!</definedName>
    <definedName name="Код">#REF!</definedName>
    <definedName name="компресс" localSheetId="2">#REF!</definedName>
    <definedName name="компресс" localSheetId="4">#REF!</definedName>
    <definedName name="компресс" localSheetId="8">#REF!</definedName>
    <definedName name="компресс" localSheetId="6">#REF!</definedName>
    <definedName name="компресс" localSheetId="5">#REF!</definedName>
    <definedName name="компресс" localSheetId="7">#REF!</definedName>
    <definedName name="компресс">#REF!</definedName>
    <definedName name="кре" localSheetId="2">#REF!</definedName>
    <definedName name="кре" localSheetId="9">#REF!</definedName>
    <definedName name="кре" localSheetId="6">#REF!</definedName>
    <definedName name="кре">#REF!</definedName>
    <definedName name="Кредит_перераб" localSheetId="2">'[9]Общ_Д'!#REF!</definedName>
    <definedName name="Кредит_перераб" localSheetId="4">'[9]Общ_Д'!#REF!</definedName>
    <definedName name="Кредит_перераб" localSheetId="8">'[9]Общ_Д'!#REF!</definedName>
    <definedName name="Кредит_перераб" localSheetId="6">'[9]Общ_Д'!#REF!</definedName>
    <definedName name="Кредит_перераб" localSheetId="5">'[9]Общ_Д'!#REF!</definedName>
    <definedName name="Кредит_перераб" localSheetId="7">'[9]Общ_Д'!#REF!</definedName>
    <definedName name="Кредит_перераб">'[9]Общ_Д'!#REF!</definedName>
    <definedName name="Кредит_произв" localSheetId="2">'[9]Общ_Д'!#REF!</definedName>
    <definedName name="Кредит_произв" localSheetId="4">'[9]Общ_Д'!#REF!</definedName>
    <definedName name="Кредит_произв" localSheetId="8">'[9]Общ_Д'!#REF!</definedName>
    <definedName name="Кредит_произв" localSheetId="6">'[9]Общ_Д'!#REF!</definedName>
    <definedName name="Кредит_произв" localSheetId="5">'[9]Общ_Д'!#REF!</definedName>
    <definedName name="Кредит_произв" localSheetId="7">'[9]Общ_Д'!#REF!</definedName>
    <definedName name="Кредит_произв">'[9]Общ_Д'!#REF!</definedName>
    <definedName name="Кредит_производство" localSheetId="2">'[9]Общ_Д'!#REF!</definedName>
    <definedName name="Кредит_производство" localSheetId="4">'[9]Общ_Д'!#REF!</definedName>
    <definedName name="Кредит_производство" localSheetId="8">'[9]Общ_Д'!#REF!</definedName>
    <definedName name="Кредит_производство" localSheetId="6">'[9]Общ_Д'!#REF!</definedName>
    <definedName name="Кредит_производство" localSheetId="5">'[9]Общ_Д'!#REF!</definedName>
    <definedName name="Кредит_производство" localSheetId="7">'[9]Общ_Д'!#REF!</definedName>
    <definedName name="Кредит_производство">'[9]Общ_Д'!#REF!</definedName>
    <definedName name="кросс_курс">'[4]Приобретение О.С.'!$F$3</definedName>
    <definedName name="кулагер" localSheetId="0">#REF!</definedName>
    <definedName name="кулагер" localSheetId="2">#REF!</definedName>
    <definedName name="кулагер">#REF!</definedName>
    <definedName name="кулагер2" localSheetId="0">#REF!</definedName>
    <definedName name="кулагер2" localSheetId="2">#REF!</definedName>
    <definedName name="кулагер2">#REF!</definedName>
    <definedName name="кулагер3" localSheetId="0">#REF!</definedName>
    <definedName name="кулагер3" localSheetId="2">#REF!</definedName>
    <definedName name="кулагер3">#REF!</definedName>
    <definedName name="кумыскаскыр" localSheetId="0">#REF!</definedName>
    <definedName name="кумыскаскыр" localSheetId="2">#REF!</definedName>
    <definedName name="кумыскаскыр">#REF!</definedName>
    <definedName name="кумыскаскыр2" localSheetId="0">#REF!</definedName>
    <definedName name="кумыскаскыр2" localSheetId="2">#REF!</definedName>
    <definedName name="кумыскаскыр2">#REF!</definedName>
    <definedName name="кумыскаскыр3" localSheetId="0">#REF!</definedName>
    <definedName name="кумыскаскыр3" localSheetId="2">#REF!</definedName>
    <definedName name="кумыскаскыр3">#REF!</definedName>
    <definedName name="Курс" localSheetId="0">'[4]Перем. затраты'!$P$45</definedName>
    <definedName name="курс" localSheetId="2">'[52]Исх'!$C$5</definedName>
    <definedName name="курс" localSheetId="11">'[19]Данные,рентаб'!$C$23</definedName>
    <definedName name="Курс" localSheetId="9">'[13]Перем. затраты'!$P$45</definedName>
    <definedName name="курс" localSheetId="6">'[58]Исх'!$C$5</definedName>
    <definedName name="курс">'Исх'!#REF!</definedName>
    <definedName name="курс_доллара_сегодня" localSheetId="2">'[53]константы'!$A$15</definedName>
    <definedName name="курс_доллара_сегодня" localSheetId="9">'[39]константы'!$A$15</definedName>
    <definedName name="курс_доллара_сегодня" localSheetId="6">'[66]константы'!$A$15</definedName>
    <definedName name="курс_доллара_сегодня">'[28]константы'!$A$15</definedName>
    <definedName name="курс_НБРК" localSheetId="2">'[48]объекты обществаКокшетау'!#REF!</definedName>
    <definedName name="курс_НБРК" localSheetId="4">'[23]объекты обществаКокшетау'!#REF!</definedName>
    <definedName name="курс_НБРК" localSheetId="9">'[34]объекты обществаКокшетау'!#REF!</definedName>
    <definedName name="курс_НБРК" localSheetId="8">'[23]объекты обществаКокшетау'!#REF!</definedName>
    <definedName name="курс_НБРК" localSheetId="6">'[61]объекты обществаКокшетау'!#REF!</definedName>
    <definedName name="курс_НБРК" localSheetId="5">'[23]объекты обществаКокшетау'!#REF!</definedName>
    <definedName name="курс_НБРК" localSheetId="7">'[23]объекты обществаКокшетау'!#REF!</definedName>
    <definedName name="курс_НБРК">'[23]объекты обществаКокшетау'!#REF!</definedName>
    <definedName name="Курс1" localSheetId="2">#REF!</definedName>
    <definedName name="Курс1" localSheetId="4">#REF!</definedName>
    <definedName name="Курс1" localSheetId="9">#REF!</definedName>
    <definedName name="Курс1" localSheetId="8">#REF!</definedName>
    <definedName name="Курс1" localSheetId="6">#REF!</definedName>
    <definedName name="Курс1" localSheetId="5">#REF!</definedName>
    <definedName name="Курс1" localSheetId="7">#REF!</definedName>
    <definedName name="Курс1">#REF!</definedName>
    <definedName name="Курс10" localSheetId="2">'[14]Финпоки1'!#REF!</definedName>
    <definedName name="Курс10" localSheetId="4">'[14]Финпоки1'!#REF!</definedName>
    <definedName name="Курс10" localSheetId="8">'[14]Финпоки1'!#REF!</definedName>
    <definedName name="Курс10" localSheetId="6">'[14]Финпоки1'!#REF!</definedName>
    <definedName name="Курс10" localSheetId="5">'[14]Финпоки1'!#REF!</definedName>
    <definedName name="Курс10" localSheetId="7">'[14]Финпоки1'!#REF!</definedName>
    <definedName name="Курс10">'[14]Финпоки1'!#REF!</definedName>
    <definedName name="курсСША" localSheetId="2">#REF!</definedName>
    <definedName name="курсСША" localSheetId="9">#REF!</definedName>
    <definedName name="курсСША" localSheetId="6">#REF!</definedName>
    <definedName name="курсСША">#REF!</definedName>
    <definedName name="мес" localSheetId="2">'[54]Осн.показ'!$C$10</definedName>
    <definedName name="мес" localSheetId="9">'[41]Осн.показ'!$C$10</definedName>
    <definedName name="мес" localSheetId="6">'[67]Осн.показ'!$C$10</definedName>
    <definedName name="мес">'[24]Осн.показ'!$C$10</definedName>
    <definedName name="мес1" localSheetId="2">'[54]Осн.показ'!$C$11</definedName>
    <definedName name="мес1" localSheetId="9">'[41]Осн.показ'!$C$11</definedName>
    <definedName name="мес1" localSheetId="6">'[67]Осн.показ'!$C$11</definedName>
    <definedName name="мес1">'[24]Осн.показ'!$C$11</definedName>
    <definedName name="металлоформы" localSheetId="2">#REF!</definedName>
    <definedName name="металлоформы" localSheetId="4">#REF!</definedName>
    <definedName name="металлоформы" localSheetId="8">#REF!</definedName>
    <definedName name="металлоформы" localSheetId="6">#REF!</definedName>
    <definedName name="металлоформы" localSheetId="5">#REF!</definedName>
    <definedName name="металлоформы" localSheetId="7">#REF!</definedName>
    <definedName name="металлоформы">#REF!</definedName>
    <definedName name="МОВ" localSheetId="2">#REF!</definedName>
    <definedName name="МОВ">#REF!</definedName>
    <definedName name="Мощность" localSheetId="2">'[55]Параметры'!$C$2</definedName>
    <definedName name="Мощность" localSheetId="9">'[42]Параметры'!$C$2</definedName>
    <definedName name="Мощность" localSheetId="6">'[68]Параметры'!$C$2</definedName>
    <definedName name="Мощность">'[29]Параметры'!$C$2</definedName>
    <definedName name="МРП">'[4]Перем. затраты'!$P$46</definedName>
    <definedName name="Название" localSheetId="2">#REF!</definedName>
    <definedName name="Название">#REF!</definedName>
    <definedName name="Наименование">'[7]План пр-ва'!$A$6</definedName>
    <definedName name="ндс" localSheetId="2">'[52]Исх'!$C$8</definedName>
    <definedName name="ндс" localSheetId="11">'[18]Исх'!$C$9</definedName>
    <definedName name="НДС" localSheetId="9">'[13]Перем. затраты'!$P$47</definedName>
    <definedName name="ндс" localSheetId="6">'[58]Исх'!$C$7</definedName>
    <definedName name="НДС" localSheetId="7">'ФОТ'!#REF!</definedName>
    <definedName name="ндс">'Исх'!$C$19</definedName>
    <definedName name="НДС_2003" localSheetId="9">'[13]Перем. затраты'!$P$48</definedName>
    <definedName name="НДС_2003" localSheetId="12">'[13]Перем. затраты'!$P$48</definedName>
    <definedName name="НДС_2003">'[4]Перем. затраты'!$P$48</definedName>
    <definedName name="НДС1" localSheetId="2">'[51]Исх'!$C$7</definedName>
    <definedName name="НДС1" localSheetId="11">'[17]Исх'!$C$7</definedName>
    <definedName name="НДС1" localSheetId="9">'[35]Исх'!$C$7</definedName>
    <definedName name="НДС1" localSheetId="6">'[65]Исх'!$C$7</definedName>
    <definedName name="НДС1">'[15]Исх'!$C$7</definedName>
    <definedName name="НДС2">'[4]Перем. затраты'!$P$47</definedName>
    <definedName name="недвижКонсал" localSheetId="0">#REF!</definedName>
    <definedName name="недвижКонсал" localSheetId="2">#REF!</definedName>
    <definedName name="недвижКонсал">#REF!</definedName>
    <definedName name="недвижКонсал2" localSheetId="0">#REF!</definedName>
    <definedName name="недвижКонсал2" localSheetId="2">#REF!</definedName>
    <definedName name="недвижКонсал2">#REF!</definedName>
    <definedName name="недвижКонсал3" localSheetId="0">#REF!</definedName>
    <definedName name="недвижКонсал3" localSheetId="2">#REF!</definedName>
    <definedName name="недвижКонсал3">#REF!</definedName>
    <definedName name="НПр" localSheetId="2">#REF!</definedName>
    <definedName name="НПр">#REF!</definedName>
    <definedName name="НПр1" localSheetId="2">#REF!</definedName>
    <definedName name="НПр1">#REF!</definedName>
    <definedName name="_xlnm.Print_Area" localSheetId="0">'1-Ф3'!$A$1:$AI$40</definedName>
    <definedName name="_xlnm.Print_Area" localSheetId="1">'2-ф2'!$A$1:$AI$32</definedName>
    <definedName name="_xlnm.Print_Area" localSheetId="2">'3-Баланс'!$A$1:$AI$26</definedName>
    <definedName name="_xlnm.Print_Area" localSheetId="10">'Инв'!$A$1:$Q$40</definedName>
    <definedName name="_xlnm.Print_Area" localSheetId="3">'Исх'!$A$1:$J$48</definedName>
    <definedName name="_xlnm.Print_Area" localSheetId="9">'кр'!$A$1:$DB$13</definedName>
    <definedName name="_xlnm.Print_Area" localSheetId="12">'Осн.пок-ли'!$A$1:$O$67</definedName>
    <definedName name="_xlnm.Print_Area" localSheetId="6">'Производство'!$A$1:$AI$15</definedName>
    <definedName name="_xlnm.Print_Area" localSheetId="5">'Расх перем'!$A$1:$P$37</definedName>
    <definedName name="_xlnm.Print_Area" localSheetId="7">'ФОТ'!$A$1:$K$29</definedName>
    <definedName name="обм" localSheetId="2">'3-Баланс'!#REF!</definedName>
    <definedName name="обм" localSheetId="11">'[16]ф2'!#REF!</definedName>
    <definedName name="обм" localSheetId="4">'2-ф2'!#REF!</definedName>
    <definedName name="обм" localSheetId="9">'[40]ф2'!#REF!</definedName>
    <definedName name="обм" localSheetId="8">'2-ф2'!#REF!</definedName>
    <definedName name="обм" localSheetId="6">'Производство'!#REF!</definedName>
    <definedName name="обм" localSheetId="5">'2-ф2'!#REF!</definedName>
    <definedName name="обм" localSheetId="7">'2-ф2'!#REF!</definedName>
    <definedName name="обм">'2-ф2'!#REF!</definedName>
    <definedName name="оборудование_ЖД" localSheetId="2">#REF!</definedName>
    <definedName name="оборудование_ЖД" localSheetId="4">#REF!</definedName>
    <definedName name="оборудование_ЖД" localSheetId="8">#REF!</definedName>
    <definedName name="оборудование_ЖД" localSheetId="6">#REF!</definedName>
    <definedName name="оборудование_ЖД" localSheetId="5">#REF!</definedName>
    <definedName name="оборудование_ЖД" localSheetId="7">#REF!</definedName>
    <definedName name="оборудование_ЖД">#REF!</definedName>
    <definedName name="общ" localSheetId="2">#REF!</definedName>
    <definedName name="общ" localSheetId="9">#REF!</definedName>
    <definedName name="общ" localSheetId="6">#REF!</definedName>
    <definedName name="общ">#REF!</definedName>
    <definedName name="объем">'[12]Осн. пара'!$C$6</definedName>
    <definedName name="объемгод">'[12]Осн. пара'!$C$7</definedName>
    <definedName name="ОС" localSheetId="2">'[54]ОС'!$D$27</definedName>
    <definedName name="ОС" localSheetId="9">'[41]ОС'!$D$27</definedName>
    <definedName name="ОС" localSheetId="6">'[67]ОС'!$D$27</definedName>
    <definedName name="ОС">'[24]ОС'!$D$27</definedName>
    <definedName name="отрасль">'[11]Б1'!$B$6</definedName>
    <definedName name="пер" localSheetId="2">#REF!</definedName>
    <definedName name="пер">#REF!</definedName>
    <definedName name="ПерЗ1" localSheetId="2">#REF!</definedName>
    <definedName name="ПерЗ1">#REF!</definedName>
    <definedName name="План_производства" localSheetId="2">#REF!</definedName>
    <definedName name="План_производства">#REF!</definedName>
    <definedName name="ПМ">'[4]Перем. затраты'!$K$3</definedName>
    <definedName name="подстанция" localSheetId="2">#REF!</definedName>
    <definedName name="подстанция" localSheetId="4">#REF!</definedName>
    <definedName name="подстанция" localSheetId="8">#REF!</definedName>
    <definedName name="подстанция" localSheetId="6">#REF!</definedName>
    <definedName name="подстанция" localSheetId="5">#REF!</definedName>
    <definedName name="подстанция" localSheetId="7">#REF!</definedName>
    <definedName name="подстанция">#REF!</definedName>
    <definedName name="Показатели" localSheetId="2">'[46]Главн'!$C$2</definedName>
    <definedName name="Показатели" localSheetId="9">'[32]Главн'!$C$2</definedName>
    <definedName name="Показатели" localSheetId="6">'[59]Главн'!$C$2</definedName>
    <definedName name="Показатели">'[21]Главн'!$C$2</definedName>
    <definedName name="пос" localSheetId="2">#REF!</definedName>
    <definedName name="пос">#REF!</definedName>
    <definedName name="ПОсД1" localSheetId="2">#REF!</definedName>
    <definedName name="ПОсД1">#REF!</definedName>
    <definedName name="пост" localSheetId="2">#REF!</definedName>
    <definedName name="пост">#REF!</definedName>
    <definedName name="ПостЗ1" localSheetId="2">#REF!</definedName>
    <definedName name="ПостЗ1">#REF!</definedName>
    <definedName name="приозернвй" localSheetId="0">#REF!</definedName>
    <definedName name="приозернвй" localSheetId="2">#REF!</definedName>
    <definedName name="приозернвй">#REF!</definedName>
    <definedName name="приозерный2" localSheetId="0">#REF!</definedName>
    <definedName name="приозерный2" localSheetId="2">#REF!</definedName>
    <definedName name="приозерный2">#REF!</definedName>
    <definedName name="приозерный3" localSheetId="0">#REF!</definedName>
    <definedName name="приозерный3" localSheetId="2">#REF!</definedName>
    <definedName name="приозерный3">#REF!</definedName>
    <definedName name="Проч" localSheetId="2">#REF!</definedName>
    <definedName name="Проч">#REF!</definedName>
    <definedName name="Проч1" localSheetId="2">#REF!</definedName>
    <definedName name="Проч1">#REF!</definedName>
    <definedName name="раб" localSheetId="2">'[56]Осн. пара'!$C$9</definedName>
    <definedName name="раб" localSheetId="9">'[43]Осн. пара'!$C$9</definedName>
    <definedName name="раб" localSheetId="6">'[69]Осн. пара'!$C$9</definedName>
    <definedName name="раб">'[30]Осн. пара'!$C$9</definedName>
    <definedName name="рас" localSheetId="2">'[54]Осн.показ'!$C$12</definedName>
    <definedName name="рас" localSheetId="9">'[41]Осн.показ'!$C$12</definedName>
    <definedName name="рас" localSheetId="6">'[67]Осн.показ'!$C$12</definedName>
    <definedName name="рас">'[24]Осн.показ'!$C$12</definedName>
    <definedName name="рбу" localSheetId="2">#REF!</definedName>
    <definedName name="рбу" localSheetId="4">#REF!</definedName>
    <definedName name="рбу" localSheetId="8">#REF!</definedName>
    <definedName name="рбу" localSheetId="6">#REF!</definedName>
    <definedName name="рбу" localSheetId="5">#REF!</definedName>
    <definedName name="рбу" localSheetId="7">#REF!</definedName>
    <definedName name="рбу">#REF!</definedName>
    <definedName name="рос" localSheetId="2">'[50]пост. пар.'!$C$8</definedName>
    <definedName name="рос" localSheetId="9">'[37]пост. пар.'!$C$8</definedName>
    <definedName name="рос" localSheetId="6">'[63]пост. пар.'!$C$8</definedName>
    <definedName name="рос">'[26]пост. пар.'!$C$8</definedName>
    <definedName name="руб" localSheetId="2">#REF!</definedName>
    <definedName name="руб" localSheetId="4">#REF!</definedName>
    <definedName name="руб" localSheetId="8">#REF!</definedName>
    <definedName name="руб" localSheetId="6">#REF!</definedName>
    <definedName name="руб" localSheetId="5">#REF!</definedName>
    <definedName name="руб" localSheetId="7">'ФОТ'!#REF!</definedName>
    <definedName name="руб">#REF!</definedName>
    <definedName name="себ" localSheetId="2">'3-Баланс'!#REF!</definedName>
    <definedName name="себ" localSheetId="11">'[16]ф2'!#REF!</definedName>
    <definedName name="себ" localSheetId="4">'2-ф2'!#REF!</definedName>
    <definedName name="себ" localSheetId="9">'[40]ф2'!#REF!</definedName>
    <definedName name="себ" localSheetId="8">'2-ф2'!#REF!</definedName>
    <definedName name="себ" localSheetId="6">'Производство'!#REF!</definedName>
    <definedName name="себ" localSheetId="5">'2-ф2'!#REF!</definedName>
    <definedName name="себ" localSheetId="7">'2-ф2'!#REF!</definedName>
    <definedName name="себ">'2-ф2'!#REF!</definedName>
    <definedName name="ситиПалас" localSheetId="0">#REF!</definedName>
    <definedName name="ситиПалас" localSheetId="2">#REF!</definedName>
    <definedName name="ситиПалас">#REF!</definedName>
    <definedName name="ситиПалас2" localSheetId="0">#REF!</definedName>
    <definedName name="ситиПалас2" localSheetId="2">#REF!</definedName>
    <definedName name="ситиПалас2">#REF!</definedName>
    <definedName name="ситиПалас3" localSheetId="0">#REF!</definedName>
    <definedName name="ситиПалас3" localSheetId="2">#REF!</definedName>
    <definedName name="ситиПалас3">#REF!</definedName>
    <definedName name="склад_продукции" localSheetId="2">#REF!</definedName>
    <definedName name="склад_продукции" localSheetId="4">#REF!</definedName>
    <definedName name="склад_продукции" localSheetId="8">#REF!</definedName>
    <definedName name="склад_продукции" localSheetId="6">#REF!</definedName>
    <definedName name="склад_продукции" localSheetId="5">#REF!</definedName>
    <definedName name="склад_продукции" localSheetId="7">#REF!</definedName>
    <definedName name="склад_продукции">#REF!</definedName>
    <definedName name="склад_цем" localSheetId="2">#REF!</definedName>
    <definedName name="склад_цем" localSheetId="4">#REF!</definedName>
    <definedName name="склад_цем" localSheetId="8">#REF!</definedName>
    <definedName name="склад_цем" localSheetId="6">#REF!</definedName>
    <definedName name="склад_цем" localSheetId="5">#REF!</definedName>
    <definedName name="склад_цем" localSheetId="7">#REF!</definedName>
    <definedName name="склад_цем">#REF!</definedName>
    <definedName name="соц1" localSheetId="2">'[46]Главн'!$D$48</definedName>
    <definedName name="соц1" localSheetId="9">'[32]Главн'!$D$48</definedName>
    <definedName name="соц1" localSheetId="6">'[59]Главн'!$D$48</definedName>
    <definedName name="соц1">'[21]Главн'!$D$48</definedName>
    <definedName name="соц2" localSheetId="2">'[46]Главн'!$E$48</definedName>
    <definedName name="соц2" localSheetId="9">'[32]Главн'!$E$48</definedName>
    <definedName name="соц2" localSheetId="6">'[59]Главн'!$E$48</definedName>
    <definedName name="соц2">'[21]Главн'!$E$48</definedName>
    <definedName name="соц3" localSheetId="2">'[46]Главн'!$F$48</definedName>
    <definedName name="соц3" localSheetId="9">'[32]Главн'!$F$48</definedName>
    <definedName name="соц3" localSheetId="6">'[59]Главн'!$F$48</definedName>
    <definedName name="соц3">'[21]Главн'!$F$48</definedName>
    <definedName name="соц4" localSheetId="2">'[46]Главн'!$G$48</definedName>
    <definedName name="соц4" localSheetId="9">'[32]Главн'!$G$48</definedName>
    <definedName name="соц4" localSheetId="6">'[59]Главн'!$G$48</definedName>
    <definedName name="соц4">'[21]Главн'!$G$48</definedName>
    <definedName name="соц5" localSheetId="2">'[46]Главн'!$H$48</definedName>
    <definedName name="соц5" localSheetId="9">'[32]Главн'!$H$48</definedName>
    <definedName name="соц5" localSheetId="6">'[59]Главн'!$H$48</definedName>
    <definedName name="соц5">'[21]Главн'!$H$48</definedName>
    <definedName name="спецодежда" localSheetId="2">#REF!</definedName>
    <definedName name="спецодежда" localSheetId="4">#REF!</definedName>
    <definedName name="спецодежда" localSheetId="8">#REF!</definedName>
    <definedName name="спецодежда" localSheetId="6">#REF!</definedName>
    <definedName name="спецодежда" localSheetId="5">#REF!</definedName>
    <definedName name="спецодежда" localSheetId="7">#REF!</definedName>
    <definedName name="спецодежда">#REF!</definedName>
    <definedName name="Срок_инвестиций1" localSheetId="2">'[46]Invest'!$I$7:$I$240</definedName>
    <definedName name="Срок_инвестиций1" localSheetId="9">'[32]Invest'!$I$7:$I$240</definedName>
    <definedName name="Срок_инвестиций1" localSheetId="6">'[59]Invest'!$I$7:$I$240</definedName>
    <definedName name="Срок_инвестиций1">'[21]Invest'!$I$7:$I$240</definedName>
    <definedName name="Срок_инвестиций2" localSheetId="2">'[46]Invest'!$M$7:$M$240</definedName>
    <definedName name="Срок_инвестиций2" localSheetId="9">'[32]Invest'!$M$7:$M$240</definedName>
    <definedName name="Срок_инвестиций2" localSheetId="6">'[59]Invest'!$M$7:$M$240</definedName>
    <definedName name="Срок_инвестиций2">'[21]Invest'!$M$7:$M$240</definedName>
    <definedName name="Срок_инвестиций3" localSheetId="2">'[46]Invest'!$Q$7:$Q$240</definedName>
    <definedName name="Срок_инвестиций3" localSheetId="9">'[32]Invest'!$Q$7:$Q$240</definedName>
    <definedName name="Срок_инвестиций3" localSheetId="6">'[59]Invest'!$Q$7:$Q$240</definedName>
    <definedName name="Срок_инвестиций3">'[21]Invest'!$Q$7:$Q$240</definedName>
    <definedName name="Срок_инвестиций4" localSheetId="2">'[46]Invest'!$U$7:$U$240</definedName>
    <definedName name="Срок_инвестиций4" localSheetId="9">'[32]Invest'!$U$7:$U$240</definedName>
    <definedName name="Срок_инвестиций4" localSheetId="6">'[59]Invest'!$U$7:$U$240</definedName>
    <definedName name="Срок_инвестиций4">'[21]Invest'!$U$7:$U$240</definedName>
    <definedName name="СрокПроекта" localSheetId="2">#REF!</definedName>
    <definedName name="СрокПроекта">#REF!</definedName>
    <definedName name="ст" localSheetId="2">'[57]Норм'!$F$9</definedName>
    <definedName name="ст" localSheetId="9">'[44]Норм'!$F$9</definedName>
    <definedName name="ст" localSheetId="6">'[70]Норм'!$F$9</definedName>
    <definedName name="ст">'[31]Норм'!$F$9</definedName>
    <definedName name="СтавкаПроцента1">'[8]L-1'!$B$6</definedName>
    <definedName name="стоимость_в_долларах" localSheetId="2">'[48]объекты обществаКокшетау'!#REF!</definedName>
    <definedName name="стоимость_в_долларах" localSheetId="4">'[23]объекты обществаКокшетау'!#REF!</definedName>
    <definedName name="стоимость_в_долларах" localSheetId="9">'[34]объекты обществаКокшетау'!#REF!</definedName>
    <definedName name="стоимость_в_долларах" localSheetId="8">'[23]объекты обществаКокшетау'!#REF!</definedName>
    <definedName name="стоимость_в_долларах" localSheetId="6">'[61]объекты обществаКокшетау'!#REF!</definedName>
    <definedName name="стоимость_в_долларах" localSheetId="5">'[23]объекты обществаКокшетау'!#REF!</definedName>
    <definedName name="стоимость_в_долларах" localSheetId="7">'[23]объекты обществаКокшетау'!#REF!</definedName>
    <definedName name="стоимость_в_долларах">'[23]объекты обществаКокшетау'!#REF!</definedName>
    <definedName name="Сумма_инвест1" localSheetId="2">'[46]Invest'!$H$7:$H$240</definedName>
    <definedName name="Сумма_инвест1" localSheetId="9">'[32]Invest'!$H$7:$H$240</definedName>
    <definedName name="Сумма_инвест1" localSheetId="6">'[59]Invest'!$H$7:$H$240</definedName>
    <definedName name="Сумма_инвест1">'[21]Invest'!$H$7:$H$240</definedName>
    <definedName name="Сумма_инвест2" localSheetId="2">'[46]Invest'!$L$7:$L$240</definedName>
    <definedName name="Сумма_инвест2" localSheetId="9">'[32]Invest'!$L$7:$L$240</definedName>
    <definedName name="Сумма_инвест2" localSheetId="6">'[59]Invest'!$L$7:$L$240</definedName>
    <definedName name="Сумма_инвест2">'[21]Invest'!$L$7:$L$240</definedName>
    <definedName name="Сумма_инвест3" localSheetId="2">'[46]Invest'!$P$7:$P$240</definedName>
    <definedName name="Сумма_инвест3" localSheetId="9">'[32]Invest'!$P$7:$P$240</definedName>
    <definedName name="Сумма_инвест3" localSheetId="6">'[59]Invest'!$P$7:$P$240</definedName>
    <definedName name="Сумма_инвест3">'[21]Invest'!$P$7:$P$240</definedName>
    <definedName name="Сумма_инвест4" localSheetId="2">'[46]Invest'!$T$7:$T$240</definedName>
    <definedName name="Сумма_инвест4" localSheetId="9">'[32]Invest'!$T$7:$T$240</definedName>
    <definedName name="Сумма_инвест4" localSheetId="6">'[59]Invest'!$T$7:$T$240</definedName>
    <definedName name="Сумма_инвест4">'[21]Invest'!$T$7:$T$240</definedName>
    <definedName name="СуммаКредита1">'[8]L-1'!$B$5</definedName>
    <definedName name="СчОпл" localSheetId="2">#REF!</definedName>
    <definedName name="СчОпл">#REF!</definedName>
    <definedName name="СчОпл1" localSheetId="2">#REF!</definedName>
    <definedName name="СчОпл1">#REF!</definedName>
    <definedName name="Сырье" localSheetId="2">#REF!</definedName>
    <definedName name="Сырье">#REF!</definedName>
    <definedName name="ТА1" localSheetId="2">#REF!</definedName>
    <definedName name="ТА1">#REF!</definedName>
    <definedName name="таблица_цен" localSheetId="2">'[53]константы'!$F$2:$G$30</definedName>
    <definedName name="таблица_цен" localSheetId="9">'[39]константы'!$F$2:$G$30</definedName>
    <definedName name="таблица_цен" localSheetId="6">'[66]константы'!$F$2:$G$30</definedName>
    <definedName name="таблица_цен">'[28]константы'!$F$2:$G$30</definedName>
    <definedName name="тг" localSheetId="2">#REF!</definedName>
    <definedName name="тг" localSheetId="4">#REF!</definedName>
    <definedName name="тг" localSheetId="8">#REF!</definedName>
    <definedName name="тг" localSheetId="6">#REF!</definedName>
    <definedName name="тг" localSheetId="5">#REF!</definedName>
    <definedName name="тг" localSheetId="7">'ФОТ'!#REF!</definedName>
    <definedName name="тг">#REF!</definedName>
    <definedName name="Тов" localSheetId="2">#REF!</definedName>
    <definedName name="Тов">#REF!</definedName>
    <definedName name="Тов1" localSheetId="2">#REF!</definedName>
    <definedName name="Тов1">#REF!</definedName>
    <definedName name="ТовРеал1" localSheetId="2">#REF!</definedName>
    <definedName name="ТовРеал1" localSheetId="4">#REF!</definedName>
    <definedName name="ТовРеал1" localSheetId="8">#REF!</definedName>
    <definedName name="ТовРеал1" localSheetId="6">#REF!</definedName>
    <definedName name="ТовРеал1" localSheetId="5">#REF!</definedName>
    <definedName name="ТовРеал1" localSheetId="7">#REF!</definedName>
    <definedName name="ТовРеал1">#REF!</definedName>
    <definedName name="убн96">'[10]Нетто3!!!'!$A$2</definedName>
    <definedName name="УК1" localSheetId="2">#REF!</definedName>
    <definedName name="УК1">#REF!</definedName>
    <definedName name="цен">'[5]Осн.показ'!$D$5</definedName>
    <definedName name="цен1" localSheetId="2">'[54]Осн.показ'!$C$6</definedName>
    <definedName name="цен1" localSheetId="9">'[41]Осн.показ'!$C$6</definedName>
    <definedName name="цен1" localSheetId="6">'[67]Осн.показ'!$C$6</definedName>
    <definedName name="цен1">'[24]Осн.показ'!$C$6</definedName>
    <definedName name="цена">'[12]Осн. пара'!$C$2</definedName>
    <definedName name="Цена_бобов" localSheetId="2">'[9]Дох'!#REF!</definedName>
    <definedName name="Цена_бобов" localSheetId="4">'[9]Дох'!#REF!</definedName>
    <definedName name="Цена_бобов" localSheetId="8">'[9]Дох'!#REF!</definedName>
    <definedName name="Цена_бобов" localSheetId="6">'[9]Дох'!#REF!</definedName>
    <definedName name="Цена_бобов" localSheetId="5">'[9]Дох'!#REF!</definedName>
    <definedName name="Цена_бобов" localSheetId="7">'[9]Дох'!#REF!</definedName>
    <definedName name="Цена_бобов">'[9]Дох'!#REF!</definedName>
    <definedName name="Цена_реал" localSheetId="2">#REF!</definedName>
    <definedName name="Цена_реал">#REF!</definedName>
    <definedName name="цена1">'[12]Осн. пара'!$C$13</definedName>
    <definedName name="цех_пби" localSheetId="2">#REF!</definedName>
    <definedName name="цех_пби" localSheetId="4">#REF!</definedName>
    <definedName name="цех_пби" localSheetId="8">#REF!</definedName>
    <definedName name="цех_пби" localSheetId="6">#REF!</definedName>
    <definedName name="цех_пби" localSheetId="5">#REF!</definedName>
    <definedName name="цех_пби" localSheetId="7">#REF!</definedName>
    <definedName name="цех_пби">#REF!</definedName>
    <definedName name="цр" localSheetId="2">#REF!</definedName>
    <definedName name="цр">#REF!</definedName>
  </definedNames>
  <calcPr fullCalcOnLoad="1"/>
</workbook>
</file>

<file path=xl/sharedStrings.xml><?xml version="1.0" encoding="utf-8"?>
<sst xmlns="http://schemas.openxmlformats.org/spreadsheetml/2006/main" count="527" uniqueCount="359">
  <si>
    <t>Итого</t>
  </si>
  <si>
    <t>Налог на имущество</t>
  </si>
  <si>
    <t xml:space="preserve">Наименование          </t>
  </si>
  <si>
    <t>Остаток денежных средств на начало отчетного периода</t>
  </si>
  <si>
    <t>Выбытие</t>
  </si>
  <si>
    <t xml:space="preserve">Поступление </t>
  </si>
  <si>
    <t xml:space="preserve">Выбытие </t>
  </si>
  <si>
    <t>Значение</t>
  </si>
  <si>
    <t>Период</t>
  </si>
  <si>
    <t>Операционная деятельность</t>
  </si>
  <si>
    <t>Вознаграждение</t>
  </si>
  <si>
    <t>начисление %</t>
  </si>
  <si>
    <t>Погашено ОД</t>
  </si>
  <si>
    <t>Погашено %</t>
  </si>
  <si>
    <t>Остаток ОД</t>
  </si>
  <si>
    <t>Валовая прибыль</t>
  </si>
  <si>
    <t xml:space="preserve">    Поступление</t>
  </si>
  <si>
    <t>Результат операционной деятельности</t>
  </si>
  <si>
    <t>Инвестиционная деятельность</t>
  </si>
  <si>
    <t xml:space="preserve">Приобретение ОС и НА </t>
  </si>
  <si>
    <t>Результат инвестиционной деятельности</t>
  </si>
  <si>
    <t>недостача избыток ден средств</t>
  </si>
  <si>
    <t>Финансовая деятельность</t>
  </si>
  <si>
    <t>Результат финансовой деятельности</t>
  </si>
  <si>
    <t>Чистые потоки денежных средств</t>
  </si>
  <si>
    <t>Расходы по процентам за кредиты</t>
  </si>
  <si>
    <t>Показатель</t>
  </si>
  <si>
    <t>Период окупаемости (дисконтированный)</t>
  </si>
  <si>
    <t>Сальдо по НДС</t>
  </si>
  <si>
    <t>Капитализ-я %</t>
  </si>
  <si>
    <t>Выплаты по дивидендам учредителям</t>
  </si>
  <si>
    <t>Выплата НДС</t>
  </si>
  <si>
    <t xml:space="preserve">Период окупаемости   </t>
  </si>
  <si>
    <t>№</t>
  </si>
  <si>
    <t>Должность</t>
  </si>
  <si>
    <t>Количество</t>
  </si>
  <si>
    <t>Исходные данные по проекту</t>
  </si>
  <si>
    <t>Ед. изм.</t>
  </si>
  <si>
    <t>НДС</t>
  </si>
  <si>
    <t>%</t>
  </si>
  <si>
    <t>без НДС</t>
  </si>
  <si>
    <t>Затраты</t>
  </si>
  <si>
    <t>ФОТ</t>
  </si>
  <si>
    <t>Канцтовары</t>
  </si>
  <si>
    <t>Прочие непредвиденные расходы</t>
  </si>
  <si>
    <t>Пенсионные отчисления</t>
  </si>
  <si>
    <t>Подоходный налог</t>
  </si>
  <si>
    <t>Социальные отчисления</t>
  </si>
  <si>
    <t>Социальный налог</t>
  </si>
  <si>
    <t>К выдаче</t>
  </si>
  <si>
    <t>Соц.отчисления</t>
  </si>
  <si>
    <t>Расчет НДС</t>
  </si>
  <si>
    <t>Проценты за кредит</t>
  </si>
  <si>
    <t>Остаток на конец отчетного периода</t>
  </si>
  <si>
    <t xml:space="preserve">Поступления по вкладам учредителей </t>
  </si>
  <si>
    <t>Ставка по кредиту</t>
  </si>
  <si>
    <t>max</t>
  </si>
  <si>
    <t>тыс.тг.</t>
  </si>
  <si>
    <t>Коэффициент НДС</t>
  </si>
  <si>
    <t>Net CF (all)</t>
  </si>
  <si>
    <t>CF before int. and loans</t>
  </si>
  <si>
    <t>CF inv</t>
  </si>
  <si>
    <t>NCF (Чистые денежные потоки)</t>
  </si>
  <si>
    <t>d NCF</t>
  </si>
  <si>
    <t>CCF</t>
  </si>
  <si>
    <t>dCCF</t>
  </si>
  <si>
    <t>PV (CCF)</t>
  </si>
  <si>
    <t>PV (CCF inv)</t>
  </si>
  <si>
    <t>NPV</t>
  </si>
  <si>
    <t>PI</t>
  </si>
  <si>
    <t>IRR</t>
  </si>
  <si>
    <t>Ставка дисконтирования</t>
  </si>
  <si>
    <t>Анализ безубыточности проекта</t>
  </si>
  <si>
    <t>Доля предельного дохода в выручке</t>
  </si>
  <si>
    <t>Запас финансовой устойчивости предприятия (%)</t>
  </si>
  <si>
    <t>Амортизация</t>
  </si>
  <si>
    <t>Кол-во периодов</t>
  </si>
  <si>
    <t>Страхование</t>
  </si>
  <si>
    <t>Стр-е гражданско-правовой ответ-ти работодателя</t>
  </si>
  <si>
    <t>Налоги (кроме налогов на ФЗП)</t>
  </si>
  <si>
    <t>Расчет амортизационных отчислений</t>
  </si>
  <si>
    <t>Норма амортизации</t>
  </si>
  <si>
    <t>Основные средства на начало</t>
  </si>
  <si>
    <t>Приход ОС</t>
  </si>
  <si>
    <t>Амортизационные отчисления, год</t>
  </si>
  <si>
    <t>Остаточная стоимость ОС</t>
  </si>
  <si>
    <t>Всего</t>
  </si>
  <si>
    <t>Балансовая прибыль</t>
  </si>
  <si>
    <t>Постоянные издержки</t>
  </si>
  <si>
    <t>Переменные издержки</t>
  </si>
  <si>
    <t>Сумма предельного дохода</t>
  </si>
  <si>
    <t>Предел безубыточности</t>
  </si>
  <si>
    <t>Адм.-управленческий персонал</t>
  </si>
  <si>
    <t>оклад</t>
  </si>
  <si>
    <t>Итого ЗП к начислению</t>
  </si>
  <si>
    <t>Доходы в месяц, тыс.тг.</t>
  </si>
  <si>
    <t>Статья доходов</t>
  </si>
  <si>
    <t>$ тыс.</t>
  </si>
  <si>
    <t>Освоение и погашение кредитных ресурсов, тыс.тг.</t>
  </si>
  <si>
    <t>Производственный персонал</t>
  </si>
  <si>
    <t>Обслуживающий персонал</t>
  </si>
  <si>
    <t>Услуги банка</t>
  </si>
  <si>
    <t>Курс доллар/тенге</t>
  </si>
  <si>
    <t>Безубыточность</t>
  </si>
  <si>
    <t>Заемные средства</t>
  </si>
  <si>
    <t>Оборудование</t>
  </si>
  <si>
    <t>Освоение</t>
  </si>
  <si>
    <t>значение</t>
  </si>
  <si>
    <t>Вспомогательный персонал</t>
  </si>
  <si>
    <t>Всего по персоналу</t>
  </si>
  <si>
    <t>Услуги связи</t>
  </si>
  <si>
    <t>Здание</t>
  </si>
  <si>
    <t>Отчет о доходах и расходах</t>
  </si>
  <si>
    <t>год</t>
  </si>
  <si>
    <t>МЗП</t>
  </si>
  <si>
    <t>Интернет</t>
  </si>
  <si>
    <t>Баланс</t>
  </si>
  <si>
    <t>Активы</t>
  </si>
  <si>
    <t>Текущие активы</t>
  </si>
  <si>
    <t>Денежные средства</t>
  </si>
  <si>
    <t>Дебиторская задолженность</t>
  </si>
  <si>
    <t>Запасы</t>
  </si>
  <si>
    <t>Долгосрочные активы</t>
  </si>
  <si>
    <t>Основные средства</t>
  </si>
  <si>
    <t>Долгосрочная дебиторская задолженность</t>
  </si>
  <si>
    <t>Прочие долгосрочные активы</t>
  </si>
  <si>
    <t>Пассивы</t>
  </si>
  <si>
    <t>Краткосрочные обязательства</t>
  </si>
  <si>
    <t>Обязательства по налогам</t>
  </si>
  <si>
    <t>Краткосрочная кредиторская задолженность</t>
  </si>
  <si>
    <t>Обязательства по кредитам</t>
  </si>
  <si>
    <t>Прочие краткосрочные обязательства</t>
  </si>
  <si>
    <t>Долгосрочные обязательства</t>
  </si>
  <si>
    <t>Прочие долгосрочные обязательства</t>
  </si>
  <si>
    <t>Капитал</t>
  </si>
  <si>
    <t>Уставный капитал</t>
  </si>
  <si>
    <t>Прибыль</t>
  </si>
  <si>
    <t>проверочная строка</t>
  </si>
  <si>
    <t>Изменение ДТ</t>
  </si>
  <si>
    <t>Изменение запасов</t>
  </si>
  <si>
    <t>Изменение КТ</t>
  </si>
  <si>
    <t>Итого изменение оборотного капитала</t>
  </si>
  <si>
    <t>Кап.затраты</t>
  </si>
  <si>
    <t>Чистый денежный поток</t>
  </si>
  <si>
    <t>Единица расчетов</t>
  </si>
  <si>
    <t>Налоговые ставки</t>
  </si>
  <si>
    <t>Расчет заработной платы</t>
  </si>
  <si>
    <t>Расходы периода</t>
  </si>
  <si>
    <t>Административные расходы</t>
  </si>
  <si>
    <t>ЧДП по Ф3</t>
  </si>
  <si>
    <t>Постоянные расходы в месяц</t>
  </si>
  <si>
    <t>Общие</t>
  </si>
  <si>
    <t>Параметры кредита</t>
  </si>
  <si>
    <t>Срок кредита</t>
  </si>
  <si>
    <t>лет</t>
  </si>
  <si>
    <t>Льготный период по выплате ОД</t>
  </si>
  <si>
    <t>Льготный период по выплате %</t>
  </si>
  <si>
    <t>мес</t>
  </si>
  <si>
    <t>Сумма</t>
  </si>
  <si>
    <t>Кол-во</t>
  </si>
  <si>
    <t>Цена</t>
  </si>
  <si>
    <t>Курс рос.рубль/тенге</t>
  </si>
  <si>
    <t>Выплаты по кредитам</t>
  </si>
  <si>
    <t>Поступления по кредитам</t>
  </si>
  <si>
    <t>Прогноз движения денежных средств (Cash Flow)</t>
  </si>
  <si>
    <t>НДС к начислению</t>
  </si>
  <si>
    <t>НДС к зачету</t>
  </si>
  <si>
    <t>НДС к зачету по инвестициям</t>
  </si>
  <si>
    <t>Сальдо нарастающим итогом</t>
  </si>
  <si>
    <t>НДС к выплате</t>
  </si>
  <si>
    <t>Оборотный капитал</t>
  </si>
  <si>
    <t>Инвестиции в основной капитал</t>
  </si>
  <si>
    <t>Доля</t>
  </si>
  <si>
    <t>Валюта кредита</t>
  </si>
  <si>
    <t>тенге</t>
  </si>
  <si>
    <t>Процентная ставка, годовых</t>
  </si>
  <si>
    <t>Выплата процентов и основного долга</t>
  </si>
  <si>
    <t>ежемесячно</t>
  </si>
  <si>
    <t>равными долями</t>
  </si>
  <si>
    <t>Льготный период погашения процентов, мес.</t>
  </si>
  <si>
    <t>Льготный период погашения основного долга, мес.</t>
  </si>
  <si>
    <t>Внутренняя норма доходности (IRR)</t>
  </si>
  <si>
    <t>Чистая текущая стоимость (NPV), тыс.тг.</t>
  </si>
  <si>
    <t>Окупаемость проекта (простая), лет</t>
  </si>
  <si>
    <t>Окупаемость проекта (дисконтированная), лет</t>
  </si>
  <si>
    <t>Календарный план реализации проекта</t>
  </si>
  <si>
    <t>Решение вопроса финансирования</t>
  </si>
  <si>
    <t>Получение кредита</t>
  </si>
  <si>
    <t>Здания и сооружения</t>
  </si>
  <si>
    <t>Наименование</t>
  </si>
  <si>
    <t>Мегалайн</t>
  </si>
  <si>
    <t>Налог на прибыль</t>
  </si>
  <si>
    <t>Налоги и обязательные платежи от ФОТ</t>
  </si>
  <si>
    <t>Вид налога</t>
  </si>
  <si>
    <t>Сумма, тыс.тг.</t>
  </si>
  <si>
    <t>Техника</t>
  </si>
  <si>
    <t>май</t>
  </si>
  <si>
    <t>Продукция</t>
  </si>
  <si>
    <t>Производство</t>
  </si>
  <si>
    <t>ед.изм.</t>
  </si>
  <si>
    <t>ГСМ</t>
  </si>
  <si>
    <t>Срок погашения, лет</t>
  </si>
  <si>
    <t>тн.</t>
  </si>
  <si>
    <t>Продажи</t>
  </si>
  <si>
    <t>Остаток</t>
  </si>
  <si>
    <t>Расходы, тыс.тг.</t>
  </si>
  <si>
    <t>Источник финансирования, тыс.тг.</t>
  </si>
  <si>
    <t>Доля собственного участия</t>
  </si>
  <si>
    <t>Собственные средства</t>
  </si>
  <si>
    <t>Финансовые показатели проекта</t>
  </si>
  <si>
    <t>С/х техника и с/х агрегаты</t>
  </si>
  <si>
    <t>уровень инфляции</t>
  </si>
  <si>
    <t>согласно налог.режиму КХ</t>
  </si>
  <si>
    <t>ИПН</t>
  </si>
  <si>
    <t>Земельный налог</t>
  </si>
  <si>
    <t>га</t>
  </si>
  <si>
    <t>Площадь з/у</t>
  </si>
  <si>
    <t>Оценочная стоимость з/у</t>
  </si>
  <si>
    <t>в год</t>
  </si>
  <si>
    <t>2013 год</t>
  </si>
  <si>
    <t>2014 год</t>
  </si>
  <si>
    <t>Урожайность</t>
  </si>
  <si>
    <t>Цены</t>
  </si>
  <si>
    <t>ц/га</t>
  </si>
  <si>
    <t>Нормы высева</t>
  </si>
  <si>
    <t>тенге/тн</t>
  </si>
  <si>
    <t>тенге/кг</t>
  </si>
  <si>
    <t>Посев</t>
  </si>
  <si>
    <t>Прочие налоги и сборы</t>
  </si>
  <si>
    <t>На семена</t>
  </si>
  <si>
    <t>Производство и реализация продукции</t>
  </si>
  <si>
    <t>Тракторист-комбайнер</t>
  </si>
  <si>
    <t>Повар</t>
  </si>
  <si>
    <t>Адм.расходы</t>
  </si>
  <si>
    <t>ГСМ (помимо производства)</t>
  </si>
  <si>
    <t>Общие затраты - для ДДС</t>
  </si>
  <si>
    <t>Урожайность, ц/га</t>
  </si>
  <si>
    <t>За минусом семян</t>
  </si>
  <si>
    <t>Расчет переменных затрат, тыс.тг.</t>
  </si>
  <si>
    <t>Урожай на 1 га, тн</t>
  </si>
  <si>
    <t>Доход до налогов</t>
  </si>
  <si>
    <t>Расчет земельного налога</t>
  </si>
  <si>
    <t>база, тыс.тг.</t>
  </si>
  <si>
    <t>ставка, %</t>
  </si>
  <si>
    <t>сумма, тыс.тг. (в год)</t>
  </si>
  <si>
    <t>общая сумма</t>
  </si>
  <si>
    <t>Семена</t>
  </si>
  <si>
    <t>Основные показатели проекта</t>
  </si>
  <si>
    <t>Выручка, тыс.тг.</t>
  </si>
  <si>
    <t>Валовая прибыль, тыс.тг.</t>
  </si>
  <si>
    <t>Чистая прибыль, тыс.тг.</t>
  </si>
  <si>
    <t>Чистая рентабельность, %</t>
  </si>
  <si>
    <t>Чистый денежный поток (к изъятию), тыс.тг.</t>
  </si>
  <si>
    <t>Чистая прибыль</t>
  </si>
  <si>
    <t>Кумулятивная чистая прибыль</t>
  </si>
  <si>
    <t>Площади (уборочные), га</t>
  </si>
  <si>
    <t>Валовый сбор, тн</t>
  </si>
  <si>
    <t>Мероприятие</t>
  </si>
  <si>
    <t>Разработка бизнес-плана</t>
  </si>
  <si>
    <t>Приобретение техники</t>
  </si>
  <si>
    <t>Поиск и найм персонала</t>
  </si>
  <si>
    <t>Рабочие для разных работ (временный)</t>
  </si>
  <si>
    <t>Глава</t>
  </si>
  <si>
    <t>Заместитель главы</t>
  </si>
  <si>
    <t>Площади</t>
  </si>
  <si>
    <t>в т.ч. пашня</t>
  </si>
  <si>
    <t>пары</t>
  </si>
  <si>
    <t>Участок</t>
  </si>
  <si>
    <t>до 500 га</t>
  </si>
  <si>
    <t>Заработная плата</t>
  </si>
  <si>
    <t>Себестоимость 1 тн, тыс.тг.</t>
  </si>
  <si>
    <t>На 1 тн</t>
  </si>
  <si>
    <t>сдельно</t>
  </si>
  <si>
    <t>Первоначальные инвестиции</t>
  </si>
  <si>
    <t>Прочие краткосрочные активы (незавершенное производство)</t>
  </si>
  <si>
    <t>Показатели эффективности проекта (7 год)</t>
  </si>
  <si>
    <t>Индекс окупаемости инвестций (PI)</t>
  </si>
  <si>
    <t>Общая площадь</t>
  </si>
  <si>
    <t>Величина налоговых поступлений за 7 лет, тыс.тг.</t>
  </si>
  <si>
    <t>Уход за посевами</t>
  </si>
  <si>
    <t>Начало продаж</t>
  </si>
  <si>
    <t>сен</t>
  </si>
  <si>
    <t>окт</t>
  </si>
  <si>
    <t>ноя</t>
  </si>
  <si>
    <t>дек</t>
  </si>
  <si>
    <t>янв</t>
  </si>
  <si>
    <t>фев</t>
  </si>
  <si>
    <t>мар</t>
  </si>
  <si>
    <t>апр</t>
  </si>
  <si>
    <t>июн</t>
  </si>
  <si>
    <t>июл</t>
  </si>
  <si>
    <t>авг</t>
  </si>
  <si>
    <t>Постоянные расходы в год</t>
  </si>
  <si>
    <t>Расчет переменных затрат</t>
  </si>
  <si>
    <t>Хлопок</t>
  </si>
  <si>
    <t>http://yvision.kz/post/312063</t>
  </si>
  <si>
    <t>На 1 га</t>
  </si>
  <si>
    <t>Нормативы затрат на ед.основных видов сх продукции (АО "КазАгроИнновация")</t>
  </si>
  <si>
    <t>Минеральные удобрения</t>
  </si>
  <si>
    <t>Гербициды, ядохимикаты</t>
  </si>
  <si>
    <t>Текущий ремонт</t>
  </si>
  <si>
    <t>Транспортные услуги</t>
  </si>
  <si>
    <t>Электроэнергия</t>
  </si>
  <si>
    <t>Семена хлопка</t>
  </si>
  <si>
    <t>Статья затрат</t>
  </si>
  <si>
    <t>Норма</t>
  </si>
  <si>
    <t>чел.-час.</t>
  </si>
  <si>
    <t>Цена за ед., тг.</t>
  </si>
  <si>
    <t>ц</t>
  </si>
  <si>
    <t>Оросительная вода</t>
  </si>
  <si>
    <t>Страховые платежи</t>
  </si>
  <si>
    <t>Налоги и платежи</t>
  </si>
  <si>
    <t>Прочие затраты</t>
  </si>
  <si>
    <t>Водитель</t>
  </si>
  <si>
    <t>http://caspiy.6te.net/simple/index.php?page=q3-1</t>
  </si>
  <si>
    <t>Бесплужная обработка почвы</t>
  </si>
  <si>
    <t>Техника для обработки хлопка</t>
  </si>
  <si>
    <t>Машина для сбора и переработки сырца</t>
  </si>
  <si>
    <t>Плоскорез</t>
  </si>
  <si>
    <t>Астраханский Морской Судостроительный Завод</t>
  </si>
  <si>
    <t>ОАО "АКМА" 
 г. Астрахань</t>
  </si>
  <si>
    <t>Сеялка точного высева  KINZE-2100</t>
  </si>
  <si>
    <t>IOWA 512 Tuttle Street, Des Moines IOWA 50309-4618 USA PH 515-245-2464</t>
  </si>
  <si>
    <t>Сеялка по технологии фирмы НОУ-ТИЛЛ Great Plains</t>
  </si>
  <si>
    <t>Культиватор KPX-4</t>
  </si>
  <si>
    <t xml:space="preserve"> УзСельхозМаш</t>
  </si>
  <si>
    <t>Куракоуборочная машина  СКО-3,8</t>
  </si>
  <si>
    <t>Ворохоочиститель  УПХ-1,8</t>
  </si>
  <si>
    <t>Хлопкоуборочный комбайн  ХМЛ-18</t>
  </si>
  <si>
    <t>Плугофреза Березкина Н.Г. ПЛНРО-4 (ПАО-4)</t>
  </si>
  <si>
    <t>Комплект инструмента и оборудования для электроискровой обработки поля осенью и возделывания хлопчатника в период вегетации</t>
  </si>
  <si>
    <t>Опрыскиватель фирмы "FIMCO" PT 220 D</t>
  </si>
  <si>
    <t>Чизель-культиватор  ЧКУ</t>
  </si>
  <si>
    <t>Мотоблок аккумуляторный</t>
  </si>
  <si>
    <t>Минитрактор  МТЗ-082</t>
  </si>
  <si>
    <t>Микроавтобус УАЗ-2206 б/у</t>
  </si>
  <si>
    <t>Трактор К-744Р (колёсный)</t>
  </si>
  <si>
    <t>Трактор МТЗ-82 (колёсный)</t>
  </si>
  <si>
    <t>Камаз 4528 (бортовой)</t>
  </si>
  <si>
    <t>Газель 33023 (бортовая-пикап)</t>
  </si>
  <si>
    <t>Трактор ДТ-75 (гусен)</t>
  </si>
  <si>
    <t>Коэффициент прироста</t>
  </si>
  <si>
    <t>Удобрения, гербициды, ядохимикаты</t>
  </si>
  <si>
    <t>Услуги, ремонт</t>
  </si>
  <si>
    <t>Электроэнергия, вода</t>
  </si>
  <si>
    <t>Налоги, страхование</t>
  </si>
  <si>
    <t>Прочие</t>
  </si>
  <si>
    <t>Себестоимость реализ. продукции</t>
  </si>
  <si>
    <t>Доход от реализации продукции</t>
  </si>
  <si>
    <t>Выращивание текстильных и лубяных волокон</t>
  </si>
  <si>
    <t>янв.-фев.14</t>
  </si>
  <si>
    <t>фев.-окт.14</t>
  </si>
  <si>
    <t>2021 год</t>
  </si>
  <si>
    <t>Планируемая программа производства</t>
  </si>
  <si>
    <t>Уборка</t>
  </si>
  <si>
    <t>http://www.slideshare.net/slavalist/ss-7485572</t>
  </si>
  <si>
    <t>Доход от реализации</t>
  </si>
  <si>
    <t>Полная себестоимость</t>
  </si>
  <si>
    <t>Тип погашения основного долга</t>
  </si>
</sst>
</file>

<file path=xl/styles.xml><?xml version="1.0" encoding="utf-8"?>
<styleSheet xmlns="http://schemas.openxmlformats.org/spreadsheetml/2006/main">
  <numFmts count="5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"/>
    <numFmt numFmtId="177" formatCode="#,##0.0"/>
    <numFmt numFmtId="178" formatCode="#,##0.0_ ;[Red]\-#,##0.0\ "/>
    <numFmt numFmtId="179" formatCode="&quot;\&quot;#,##0;[Red]&quot;\&quot;\-#,##0"/>
    <numFmt numFmtId="180" formatCode="&quot;\&quot;#,##0.00;[Red]&quot;\&quot;\-#,##0.00"/>
    <numFmt numFmtId="181" formatCode="&quot;See Note &quot;\ #"/>
    <numFmt numFmtId="182" formatCode="\$\ #,##0"/>
    <numFmt numFmtId="183" formatCode="_-* #,##0.00[$€]_-;\-* #,##0.00[$€]_-;_-* &quot;-&quot;??[$€]_-;_-@_-"/>
    <numFmt numFmtId="184" formatCode="#,##0.000_ ;[Red]\-#,##0.000\ "/>
    <numFmt numFmtId="185" formatCode="#,##0.000"/>
    <numFmt numFmtId="186" formatCode="0.0000"/>
    <numFmt numFmtId="187" formatCode="0.000"/>
    <numFmt numFmtId="188" formatCode="0.000%"/>
    <numFmt numFmtId="189" formatCode="0.0000%"/>
    <numFmt numFmtId="190" formatCode="0.00000"/>
    <numFmt numFmtId="191" formatCode="0.00000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[$-FC19]d\ mmmm\ yyyy\ &quot;г.&quot;"/>
    <numFmt numFmtId="196" formatCode="[$-419]mmmm;@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"/>
    <numFmt numFmtId="202" formatCode="0.00000000"/>
    <numFmt numFmtId="203" formatCode="_-* #,##0.0000_р_._-;\-* #,##0.0000_р_._-;_-* &quot;-&quot;??_р_._-;_-@_-"/>
    <numFmt numFmtId="204" formatCode="_-* #,##0\ _€_-;\-* #,##0\ _€_-;_-* &quot;-&quot;??\ _€_-;_-@_-"/>
    <numFmt numFmtId="205" formatCode="_-* #,##0.00\ _€_-;\-* #,##0.00\ _€_-;_-* &quot;-&quot;??\ _€_-;_-@_-"/>
    <numFmt numFmtId="206" formatCode="[$-419]mmmm\ yyyy;@"/>
    <numFmt numFmtId="207" formatCode="0.0000000000"/>
    <numFmt numFmtId="208" formatCode="0.000000000"/>
    <numFmt numFmtId="209" formatCode="#,##0_ ;\-#,##0\ "/>
    <numFmt numFmtId="210" formatCode="#,##0.0_ ;\-#,##0.0\ "/>
    <numFmt numFmtId="211" formatCode="#,##0.0000"/>
    <numFmt numFmtId="212" formatCode="#,##0.00000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Helv"/>
      <family val="2"/>
    </font>
    <font>
      <b/>
      <sz val="8"/>
      <name val="Times New Roman"/>
      <family val="1"/>
    </font>
    <font>
      <sz val="10"/>
      <name val="ЏрЯмой Џроп"/>
      <family val="0"/>
    </font>
    <font>
      <sz val="8"/>
      <name val="Helv"/>
      <family val="2"/>
    </font>
    <font>
      <sz val="8"/>
      <name val="Times New Roman"/>
      <family val="1"/>
    </font>
    <font>
      <sz val="12"/>
      <name val="Times New Roman Cyr"/>
      <family val="0"/>
    </font>
    <font>
      <sz val="10"/>
      <name val="Geneva"/>
      <family val="0"/>
    </font>
    <font>
      <sz val="11"/>
      <name val="lr oSVbN"/>
      <family val="3"/>
    </font>
    <font>
      <sz val="8"/>
      <name val="Arial"/>
      <family val="2"/>
    </font>
    <font>
      <sz val="9"/>
      <color indexed="8"/>
      <name val="Futuris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sz val="10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"/>
      <family val="2"/>
    </font>
    <font>
      <i/>
      <sz val="10"/>
      <color theme="0" tint="-0.4999699890613556"/>
      <name val="Arial"/>
      <family val="2"/>
    </font>
    <font>
      <sz val="10"/>
      <color theme="3" tint="0.3999800086021423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top" wrapText="1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83" fontId="0" fillId="0" borderId="0" applyFont="0" applyFill="0" applyBorder="0" applyAlignment="0" applyProtection="0"/>
    <xf numFmtId="0" fontId="7" fillId="0" borderId="0">
      <alignment/>
      <protection/>
    </xf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8" fillId="0" borderId="0">
      <alignment/>
      <protection/>
    </xf>
    <xf numFmtId="181" fontId="9" fillId="0" borderId="0">
      <alignment horizontal="left"/>
      <protection/>
    </xf>
    <xf numFmtId="182" fontId="10" fillId="0" borderId="0">
      <alignment/>
      <protection/>
    </xf>
    <xf numFmtId="181" fontId="9" fillId="0" borderId="0">
      <alignment horizontal="left"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" fillId="0" borderId="0">
      <alignment/>
      <protection/>
    </xf>
    <xf numFmtId="0" fontId="61" fillId="0" borderId="0" applyNumberFormat="0" applyFill="0" applyBorder="0" applyAlignment="0" applyProtection="0"/>
    <xf numFmtId="0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>
      <alignment/>
      <protection/>
    </xf>
    <xf numFmtId="180" fontId="13" fillId="0" borderId="0" applyFont="0" applyFill="0" applyBorder="0" applyAlignment="0" applyProtection="0"/>
    <xf numFmtId="179" fontId="13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16" fillId="0" borderId="0" xfId="70" applyFont="1" applyFill="1" applyBorder="1" applyAlignment="1">
      <alignment/>
      <protection/>
    </xf>
    <xf numFmtId="0" fontId="5" fillId="0" borderId="0" xfId="70" applyFont="1" applyFill="1" applyBorder="1">
      <alignment/>
      <protection/>
    </xf>
    <xf numFmtId="0" fontId="5" fillId="0" borderId="0" xfId="70" applyFont="1" applyFill="1" applyBorder="1" applyAlignment="1">
      <alignment horizontal="right"/>
      <protection/>
    </xf>
    <xf numFmtId="3" fontId="5" fillId="0" borderId="0" xfId="0" applyNumberFormat="1" applyFont="1" applyFill="1" applyBorder="1" applyAlignment="1">
      <alignment horizontal="center"/>
    </xf>
    <xf numFmtId="0" fontId="17" fillId="0" borderId="0" xfId="68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center"/>
    </xf>
    <xf numFmtId="0" fontId="5" fillId="0" borderId="0" xfId="70" applyFont="1" applyFill="1" applyBorder="1" applyAlignment="1">
      <alignment/>
      <protection/>
    </xf>
    <xf numFmtId="0" fontId="16" fillId="0" borderId="0" xfId="70" applyFont="1" applyFill="1" applyBorder="1" applyAlignment="1">
      <alignment horizontal="center"/>
      <protection/>
    </xf>
    <xf numFmtId="0" fontId="18" fillId="0" borderId="0" xfId="70" applyFont="1" applyFill="1" applyBorder="1">
      <alignment/>
      <protection/>
    </xf>
    <xf numFmtId="14" fontId="5" fillId="0" borderId="0" xfId="70" applyNumberFormat="1" applyFont="1" applyFill="1" applyBorder="1">
      <alignment/>
      <protection/>
    </xf>
    <xf numFmtId="0" fontId="16" fillId="0" borderId="10" xfId="70" applyFont="1" applyFill="1" applyBorder="1" applyAlignment="1">
      <alignment horizontal="center" vertical="center" wrapText="1"/>
      <protection/>
    </xf>
    <xf numFmtId="0" fontId="5" fillId="0" borderId="10" xfId="70" applyFont="1" applyFill="1" applyBorder="1" applyAlignment="1">
      <alignment horizontal="center" vertical="center" wrapText="1"/>
      <protection/>
    </xf>
    <xf numFmtId="2" fontId="16" fillId="33" borderId="10" xfId="70" applyNumberFormat="1" applyFont="1" applyFill="1" applyBorder="1" applyAlignment="1">
      <alignment wrapText="1"/>
      <protection/>
    </xf>
    <xf numFmtId="3" fontId="16" fillId="33" borderId="10" xfId="70" applyNumberFormat="1" applyFont="1" applyFill="1" applyBorder="1" applyAlignment="1">
      <alignment horizontal="right" wrapText="1"/>
      <protection/>
    </xf>
    <xf numFmtId="0" fontId="16" fillId="33" borderId="10" xfId="70" applyFont="1" applyFill="1" applyBorder="1" applyAlignment="1">
      <alignment horizontal="left" wrapText="1"/>
      <protection/>
    </xf>
    <xf numFmtId="3" fontId="16" fillId="33" borderId="10" xfId="70" applyNumberFormat="1" applyFont="1" applyFill="1" applyBorder="1" applyAlignment="1">
      <alignment/>
      <protection/>
    </xf>
    <xf numFmtId="0" fontId="16" fillId="0" borderId="0" xfId="0" applyFont="1" applyFill="1" applyAlignment="1">
      <alignment/>
    </xf>
    <xf numFmtId="0" fontId="16" fillId="34" borderId="11" xfId="70" applyFont="1" applyFill="1" applyBorder="1" applyAlignment="1">
      <alignment vertical="center"/>
      <protection/>
    </xf>
    <xf numFmtId="0" fontId="16" fillId="34" borderId="12" xfId="70" applyFont="1" applyFill="1" applyBorder="1" applyAlignment="1">
      <alignment vertical="center"/>
      <protection/>
    </xf>
    <xf numFmtId="3" fontId="16" fillId="34" borderId="10" xfId="70" applyNumberFormat="1" applyFont="1" applyFill="1" applyBorder="1" applyAlignment="1">
      <alignment vertical="center"/>
      <protection/>
    </xf>
    <xf numFmtId="3" fontId="16" fillId="34" borderId="10" xfId="70" applyNumberFormat="1" applyFont="1" applyFill="1" applyBorder="1" applyAlignment="1">
      <alignment horizontal="right" vertical="center"/>
      <protection/>
    </xf>
    <xf numFmtId="0" fontId="16" fillId="0" borderId="10" xfId="70" applyFont="1" applyFill="1" applyBorder="1" applyAlignment="1">
      <alignment vertical="center" wrapText="1"/>
      <protection/>
    </xf>
    <xf numFmtId="3" fontId="16" fillId="0" borderId="10" xfId="70" applyNumberFormat="1" applyFont="1" applyFill="1" applyBorder="1" applyAlignment="1">
      <alignment horizontal="right" wrapText="1"/>
      <protection/>
    </xf>
    <xf numFmtId="0" fontId="5" fillId="0" borderId="10" xfId="70" applyFont="1" applyFill="1" applyBorder="1" applyAlignment="1">
      <alignment vertical="center" wrapText="1"/>
      <protection/>
    </xf>
    <xf numFmtId="3" fontId="5" fillId="0" borderId="10" xfId="70" applyNumberFormat="1" applyFont="1" applyFill="1" applyBorder="1" applyAlignment="1">
      <alignment horizontal="right"/>
      <protection/>
    </xf>
    <xf numFmtId="0" fontId="16" fillId="0" borderId="10" xfId="70" applyFont="1" applyFill="1" applyBorder="1" applyAlignment="1">
      <alignment horizontal="left" vertical="center" wrapText="1" indent="1"/>
      <protection/>
    </xf>
    <xf numFmtId="3" fontId="16" fillId="0" borderId="10" xfId="70" applyNumberFormat="1" applyFont="1" applyFill="1" applyBorder="1" applyAlignment="1">
      <alignment vertical="center" wrapText="1"/>
      <protection/>
    </xf>
    <xf numFmtId="9" fontId="16" fillId="0" borderId="10" xfId="70" applyNumberFormat="1" applyFont="1" applyFill="1" applyBorder="1" applyAlignment="1">
      <alignment horizontal="right" wrapText="1"/>
      <protection/>
    </xf>
    <xf numFmtId="3" fontId="5" fillId="0" borderId="10" xfId="70" applyNumberFormat="1" applyFont="1" applyFill="1" applyBorder="1" applyAlignment="1">
      <alignment horizontal="right" wrapText="1"/>
      <protection/>
    </xf>
    <xf numFmtId="0" fontId="16" fillId="33" borderId="10" xfId="70" applyFont="1" applyFill="1" applyBorder="1" applyAlignment="1">
      <alignment vertical="center" wrapText="1"/>
      <protection/>
    </xf>
    <xf numFmtId="3" fontId="16" fillId="34" borderId="10" xfId="70" applyNumberFormat="1" applyFont="1" applyFill="1" applyBorder="1" applyAlignment="1">
      <alignment horizontal="right" wrapText="1"/>
      <protection/>
    </xf>
    <xf numFmtId="3" fontId="16" fillId="0" borderId="10" xfId="70" applyNumberFormat="1" applyFont="1" applyFill="1" applyBorder="1" applyAlignment="1">
      <alignment horizontal="right"/>
      <protection/>
    </xf>
    <xf numFmtId="0" fontId="5" fillId="0" borderId="10" xfId="70" applyFont="1" applyFill="1" applyBorder="1" applyAlignment="1">
      <alignment wrapText="1"/>
      <protection/>
    </xf>
    <xf numFmtId="0" fontId="16" fillId="33" borderId="10" xfId="70" applyFont="1" applyFill="1" applyBorder="1" applyAlignment="1">
      <alignment wrapText="1"/>
      <protection/>
    </xf>
    <xf numFmtId="1" fontId="19" fillId="0" borderId="11" xfId="70" applyNumberFormat="1" applyFont="1" applyFill="1" applyBorder="1" applyAlignment="1">
      <alignment wrapText="1"/>
      <protection/>
    </xf>
    <xf numFmtId="3" fontId="20" fillId="0" borderId="10" xfId="70" applyNumberFormat="1" applyFont="1" applyFill="1" applyBorder="1" applyAlignment="1">
      <alignment horizontal="right" wrapText="1"/>
      <protection/>
    </xf>
    <xf numFmtId="3" fontId="19" fillId="0" borderId="10" xfId="70" applyNumberFormat="1" applyFont="1" applyFill="1" applyBorder="1" applyAlignment="1">
      <alignment horizontal="right" wrapText="1"/>
      <protection/>
    </xf>
    <xf numFmtId="1" fontId="20" fillId="0" borderId="0" xfId="0" applyNumberFormat="1" applyFont="1" applyFill="1" applyAlignment="1">
      <alignment/>
    </xf>
    <xf numFmtId="0" fontId="5" fillId="0" borderId="10" xfId="70" applyFont="1" applyFill="1" applyBorder="1" applyAlignment="1">
      <alignment vertical="center"/>
      <protection/>
    </xf>
    <xf numFmtId="3" fontId="5" fillId="0" borderId="10" xfId="0" applyNumberFormat="1" applyFont="1" applyFill="1" applyBorder="1" applyAlignment="1">
      <alignment horizontal="right"/>
    </xf>
    <xf numFmtId="172" fontId="5" fillId="0" borderId="11" xfId="64" applyNumberFormat="1" applyFont="1" applyFill="1" applyBorder="1" applyAlignment="1">
      <alignment vertical="center" wrapText="1"/>
      <protection/>
    </xf>
    <xf numFmtId="172" fontId="5" fillId="0" borderId="10" xfId="64" applyNumberFormat="1" applyFont="1" applyFill="1" applyBorder="1" applyAlignment="1">
      <alignment horizontal="right" vertical="center" wrapText="1"/>
      <protection/>
    </xf>
    <xf numFmtId="0" fontId="5" fillId="0" borderId="0" xfId="68" applyFont="1" applyFill="1">
      <alignment/>
      <protection/>
    </xf>
    <xf numFmtId="0" fontId="16" fillId="0" borderId="10" xfId="70" applyFont="1" applyFill="1" applyBorder="1" applyAlignment="1">
      <alignment vertical="center"/>
      <protection/>
    </xf>
    <xf numFmtId="3" fontId="16" fillId="35" borderId="10" xfId="70" applyNumberFormat="1" applyFont="1" applyFill="1" applyBorder="1" applyAlignment="1">
      <alignment horizontal="right" wrapText="1"/>
      <protection/>
    </xf>
    <xf numFmtId="172" fontId="16" fillId="0" borderId="10" xfId="70" applyNumberFormat="1" applyFont="1" applyFill="1" applyBorder="1" applyAlignment="1">
      <alignment horizontal="right" vertical="center"/>
      <protection/>
    </xf>
    <xf numFmtId="172" fontId="16" fillId="0" borderId="10" xfId="70" applyNumberFormat="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177" fontId="1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Border="1" applyAlignment="1">
      <alignment horizontal="center"/>
    </xf>
    <xf numFmtId="3" fontId="63" fillId="0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3" fontId="5" fillId="36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9" fontId="16" fillId="0" borderId="0" xfId="0" applyNumberFormat="1" applyFont="1" applyFill="1" applyBorder="1" applyAlignment="1">
      <alignment/>
    </xf>
    <xf numFmtId="0" fontId="5" fillId="0" borderId="0" xfId="66" applyFont="1">
      <alignment/>
      <protection/>
    </xf>
    <xf numFmtId="0" fontId="5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9" fontId="5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/>
    </xf>
    <xf numFmtId="0" fontId="16" fillId="0" borderId="0" xfId="70" applyFont="1" applyFill="1" applyBorder="1" applyAlignment="1">
      <alignment horizontal="left" wrapText="1" shrinkToFit="1"/>
      <protection/>
    </xf>
    <xf numFmtId="0" fontId="5" fillId="0" borderId="0" xfId="70" applyFont="1" applyFill="1" applyBorder="1" applyAlignment="1">
      <alignment wrapText="1" shrinkToFit="1"/>
      <protection/>
    </xf>
    <xf numFmtId="0" fontId="16" fillId="0" borderId="0" xfId="70" applyFont="1" applyFill="1" applyBorder="1" applyAlignment="1">
      <alignment wrapText="1" shrinkToFit="1"/>
      <protection/>
    </xf>
    <xf numFmtId="0" fontId="64" fillId="0" borderId="0" xfId="70" applyNumberFormat="1" applyFont="1" applyFill="1" applyBorder="1" applyAlignment="1">
      <alignment horizontal="left"/>
      <protection/>
    </xf>
    <xf numFmtId="9" fontId="64" fillId="0" borderId="0" xfId="70" applyNumberFormat="1" applyFont="1" applyFill="1" applyBorder="1" applyAlignment="1">
      <alignment wrapText="1" shrinkToFit="1"/>
      <protection/>
    </xf>
    <xf numFmtId="0" fontId="16" fillId="34" borderId="10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 wrapText="1" shrinkToFit="1"/>
      <protection/>
    </xf>
    <xf numFmtId="172" fontId="16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34" borderId="14" xfId="70" applyFont="1" applyFill="1" applyBorder="1" applyAlignment="1">
      <alignment horizontal="center" vertical="center" wrapText="1" shrinkToFit="1"/>
      <protection/>
    </xf>
    <xf numFmtId="3" fontId="5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0" borderId="11" xfId="70" applyFont="1" applyFill="1" applyBorder="1" applyAlignment="1">
      <alignment horizontal="left" vertical="top" wrapText="1" shrinkToFit="1"/>
      <protection/>
    </xf>
    <xf numFmtId="3" fontId="16" fillId="0" borderId="10" xfId="70" applyNumberFormat="1" applyFont="1" applyFill="1" applyBorder="1" applyAlignment="1">
      <alignment horizontal="center" vertical="center"/>
      <protection/>
    </xf>
    <xf numFmtId="3" fontId="16" fillId="0" borderId="14" xfId="70" applyNumberFormat="1" applyFont="1" applyFill="1" applyBorder="1" applyAlignment="1">
      <alignment horizontal="center" vertical="center"/>
      <protection/>
    </xf>
    <xf numFmtId="172" fontId="16" fillId="0" borderId="0" xfId="70" applyNumberFormat="1" applyFont="1" applyFill="1" applyBorder="1" applyAlignment="1" applyProtection="1">
      <alignment wrapText="1" shrinkToFit="1"/>
      <protection locked="0"/>
    </xf>
    <xf numFmtId="0" fontId="5" fillId="0" borderId="11" xfId="70" applyFont="1" applyFill="1" applyBorder="1" applyAlignment="1">
      <alignment horizontal="left" vertical="top" wrapText="1" indent="3" shrinkToFit="1"/>
      <protection/>
    </xf>
    <xf numFmtId="3" fontId="5" fillId="0" borderId="14" xfId="70" applyNumberFormat="1" applyFont="1" applyFill="1" applyBorder="1" applyAlignment="1">
      <alignment horizontal="center" vertical="center"/>
      <protection/>
    </xf>
    <xf numFmtId="3" fontId="16" fillId="0" borderId="14" xfId="70" applyNumberFormat="1" applyFont="1" applyFill="1" applyBorder="1" applyAlignment="1">
      <alignment horizontal="center" vertical="top"/>
      <protection/>
    </xf>
    <xf numFmtId="0" fontId="5" fillId="0" borderId="11" xfId="70" applyFont="1" applyFill="1" applyBorder="1" applyAlignment="1">
      <alignment horizontal="left" vertical="top" wrapText="1" shrinkToFit="1"/>
      <protection/>
    </xf>
    <xf numFmtId="172" fontId="16" fillId="0" borderId="10" xfId="70" applyNumberFormat="1" applyFont="1" applyFill="1" applyBorder="1" applyAlignment="1">
      <alignment horizontal="center" vertical="top"/>
      <protection/>
    </xf>
    <xf numFmtId="172" fontId="16" fillId="0" borderId="14" xfId="70" applyNumberFormat="1" applyFont="1" applyFill="1" applyBorder="1" applyAlignment="1">
      <alignment horizontal="center" vertical="top"/>
      <protection/>
    </xf>
    <xf numFmtId="0" fontId="5" fillId="0" borderId="0" xfId="70" applyFont="1" applyFill="1" applyBorder="1" applyAlignment="1">
      <alignment horizontal="left" vertical="top" wrapText="1" shrinkToFit="1"/>
      <protection/>
    </xf>
    <xf numFmtId="0" fontId="5" fillId="0" borderId="0" xfId="70" applyFont="1" applyFill="1" applyBorder="1" applyAlignment="1">
      <alignment horizontal="left" vertical="top"/>
      <protection/>
    </xf>
    <xf numFmtId="0" fontId="21" fillId="0" borderId="0" xfId="70" applyFont="1" applyFill="1" applyBorder="1" applyAlignment="1">
      <alignment wrapText="1" shrinkToFit="1"/>
      <protection/>
    </xf>
    <xf numFmtId="0" fontId="16" fillId="34" borderId="13" xfId="70" applyFont="1" applyFill="1" applyBorder="1" applyAlignment="1">
      <alignment horizontal="center" vertical="center"/>
      <protection/>
    </xf>
    <xf numFmtId="172" fontId="16" fillId="34" borderId="12" xfId="7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0" fontId="16" fillId="34" borderId="10" xfId="70" applyFont="1" applyFill="1" applyBorder="1" applyAlignment="1">
      <alignment horizontal="right" vertical="center"/>
      <protection/>
    </xf>
    <xf numFmtId="3" fontId="5" fillId="34" borderId="10" xfId="70" applyNumberFormat="1" applyFont="1" applyFill="1" applyBorder="1" applyAlignment="1">
      <alignment horizontal="center" vertical="center"/>
      <protection/>
    </xf>
    <xf numFmtId="0" fontId="16" fillId="34" borderId="10" xfId="70" applyFont="1" applyFill="1" applyBorder="1" applyAlignment="1">
      <alignment horizontal="center" vertical="center"/>
      <protection/>
    </xf>
    <xf numFmtId="172" fontId="5" fillId="0" borderId="10" xfId="67" applyNumberFormat="1" applyFont="1" applyBorder="1" applyAlignment="1">
      <alignment vertical="center" wrapText="1" shrinkToFit="1"/>
      <protection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172" fontId="65" fillId="0" borderId="0" xfId="70" applyNumberFormat="1" applyFont="1" applyFill="1" applyBorder="1" applyAlignment="1">
      <alignment wrapText="1" shrinkToFit="1"/>
      <protection/>
    </xf>
    <xf numFmtId="0" fontId="16" fillId="0" borderId="0" xfId="71" applyFont="1" applyFill="1" applyBorder="1" applyAlignment="1">
      <alignment horizontal="left" wrapText="1" shrinkToFit="1"/>
      <protection/>
    </xf>
    <xf numFmtId="0" fontId="5" fillId="0" borderId="0" xfId="71" applyFont="1" applyFill="1" applyBorder="1" applyAlignment="1">
      <alignment wrapText="1" shrinkToFit="1"/>
      <protection/>
    </xf>
    <xf numFmtId="3" fontId="5" fillId="0" borderId="0" xfId="71" applyNumberFormat="1" applyFont="1" applyFill="1" applyBorder="1" applyAlignment="1">
      <alignment wrapText="1" shrinkToFit="1"/>
      <protection/>
    </xf>
    <xf numFmtId="0" fontId="16" fillId="34" borderId="10" xfId="71" applyFont="1" applyFill="1" applyBorder="1" applyAlignment="1">
      <alignment horizontal="center" vertical="center"/>
      <protection/>
    </xf>
    <xf numFmtId="0" fontId="16" fillId="34" borderId="13" xfId="71" applyFont="1" applyFill="1" applyBorder="1" applyAlignment="1">
      <alignment horizontal="center" vertical="center"/>
      <protection/>
    </xf>
    <xf numFmtId="172" fontId="16" fillId="34" borderId="10" xfId="71" applyNumberFormat="1" applyFont="1" applyFill="1" applyBorder="1" applyAlignment="1">
      <alignment horizontal="center" vertical="center"/>
      <protection/>
    </xf>
    <xf numFmtId="0" fontId="16" fillId="34" borderId="14" xfId="71" applyFont="1" applyFill="1" applyBorder="1" applyAlignment="1">
      <alignment horizontal="center" vertical="center"/>
      <protection/>
    </xf>
    <xf numFmtId="3" fontId="5" fillId="34" borderId="10" xfId="71" applyNumberFormat="1" applyFont="1" applyFill="1" applyBorder="1" applyAlignment="1">
      <alignment horizontal="center" vertical="center"/>
      <protection/>
    </xf>
    <xf numFmtId="0" fontId="16" fillId="0" borderId="11" xfId="71" applyFont="1" applyFill="1" applyBorder="1" applyAlignment="1">
      <alignment horizontal="left" vertical="top" wrapText="1" shrinkToFit="1"/>
      <protection/>
    </xf>
    <xf numFmtId="3" fontId="16" fillId="0" borderId="10" xfId="71" applyNumberFormat="1" applyFont="1" applyFill="1" applyBorder="1" applyAlignment="1">
      <alignment horizontal="center" vertical="center"/>
      <protection/>
    </xf>
    <xf numFmtId="3" fontId="16" fillId="0" borderId="14" xfId="71" applyNumberFormat="1" applyFont="1" applyFill="1" applyBorder="1" applyAlignment="1">
      <alignment horizontal="center" vertical="center"/>
      <protection/>
    </xf>
    <xf numFmtId="172" fontId="16" fillId="0" borderId="0" xfId="71" applyNumberFormat="1" applyFont="1" applyFill="1" applyBorder="1" applyAlignment="1" applyProtection="1">
      <alignment wrapText="1" shrinkToFit="1"/>
      <protection locked="0"/>
    </xf>
    <xf numFmtId="0" fontId="16" fillId="0" borderId="0" xfId="71" applyFont="1" applyFill="1" applyBorder="1" applyAlignment="1">
      <alignment wrapText="1" shrinkToFit="1"/>
      <protection/>
    </xf>
    <xf numFmtId="0" fontId="5" fillId="0" borderId="11" xfId="71" applyFont="1" applyFill="1" applyBorder="1" applyAlignment="1">
      <alignment horizontal="left" vertical="top" wrapText="1" indent="1" shrinkToFit="1"/>
      <protection/>
    </xf>
    <xf numFmtId="3" fontId="5" fillId="0" borderId="14" xfId="71" applyNumberFormat="1" applyFont="1" applyFill="1" applyBorder="1" applyAlignment="1">
      <alignment horizontal="center" vertical="center"/>
      <protection/>
    </xf>
    <xf numFmtId="3" fontId="5" fillId="0" borderId="10" xfId="71" applyNumberFormat="1" applyFont="1" applyFill="1" applyBorder="1" applyAlignment="1">
      <alignment horizontal="center" vertical="center"/>
      <protection/>
    </xf>
    <xf numFmtId="0" fontId="5" fillId="0" borderId="0" xfId="71" applyFont="1" applyFill="1" applyBorder="1" applyAlignment="1">
      <alignment horizontal="left" vertical="top" wrapText="1" shrinkToFit="1"/>
      <protection/>
    </xf>
    <xf numFmtId="0" fontId="5" fillId="0" borderId="0" xfId="71" applyFont="1" applyFill="1" applyBorder="1" applyAlignment="1">
      <alignment horizontal="left" vertical="top"/>
      <protection/>
    </xf>
    <xf numFmtId="0" fontId="17" fillId="0" borderId="15" xfId="71" applyFont="1" applyFill="1" applyBorder="1" applyAlignment="1">
      <alignment wrapText="1" shrinkToFit="1"/>
      <protection/>
    </xf>
    <xf numFmtId="0" fontId="5" fillId="0" borderId="15" xfId="71" applyFont="1" applyFill="1" applyBorder="1" applyAlignment="1">
      <alignment wrapText="1" shrinkToFit="1"/>
      <protection/>
    </xf>
    <xf numFmtId="4" fontId="5" fillId="0" borderId="15" xfId="71" applyNumberFormat="1" applyFont="1" applyFill="1" applyBorder="1" applyAlignment="1">
      <alignment wrapText="1" shrinkToFit="1"/>
      <protection/>
    </xf>
    <xf numFmtId="3" fontId="5" fillId="0" borderId="15" xfId="71" applyNumberFormat="1" applyFont="1" applyFill="1" applyBorder="1" applyAlignment="1">
      <alignment wrapText="1" shrinkToFit="1"/>
      <protection/>
    </xf>
    <xf numFmtId="0" fontId="16" fillId="0" borderId="0" xfId="0" applyFont="1" applyAlignment="1">
      <alignment horizontal="center"/>
    </xf>
    <xf numFmtId="0" fontId="16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/>
    </xf>
    <xf numFmtId="3" fontId="16" fillId="37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 shrinkToFit="1"/>
    </xf>
    <xf numFmtId="0" fontId="16" fillId="37" borderId="10" xfId="0" applyFont="1" applyFill="1" applyBorder="1" applyAlignment="1">
      <alignment horizontal="left" vertical="center" wrapText="1" shrinkToFit="1"/>
    </xf>
    <xf numFmtId="3" fontId="5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 vertical="center" wrapText="1" shrinkToFit="1"/>
    </xf>
    <xf numFmtId="9" fontId="16" fillId="0" borderId="0" xfId="0" applyNumberFormat="1" applyFont="1" applyAlignment="1">
      <alignment/>
    </xf>
    <xf numFmtId="3" fontId="16" fillId="38" borderId="10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5" fillId="0" borderId="10" xfId="0" applyFont="1" applyBorder="1" applyAlignment="1">
      <alignment wrapText="1"/>
    </xf>
    <xf numFmtId="3" fontId="16" fillId="34" borderId="10" xfId="0" applyNumberFormat="1" applyFont="1" applyFill="1" applyBorder="1" applyAlignment="1">
      <alignment/>
    </xf>
    <xf numFmtId="177" fontId="5" fillId="0" borderId="0" xfId="0" applyNumberFormat="1" applyFont="1" applyAlignment="1">
      <alignment/>
    </xf>
    <xf numFmtId="173" fontId="5" fillId="33" borderId="10" xfId="76" applyNumberFormat="1" applyFont="1" applyFill="1" applyBorder="1" applyAlignment="1">
      <alignment/>
    </xf>
    <xf numFmtId="177" fontId="5" fillId="0" borderId="10" xfId="0" applyNumberFormat="1" applyFont="1" applyBorder="1" applyAlignment="1">
      <alignment/>
    </xf>
    <xf numFmtId="209" fontId="5" fillId="0" borderId="0" xfId="0" applyNumberFormat="1" applyFont="1" applyAlignment="1">
      <alignment/>
    </xf>
    <xf numFmtId="173" fontId="5" fillId="0" borderId="10" xfId="76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9" fontId="5" fillId="0" borderId="10" xfId="76" applyFont="1" applyFill="1" applyBorder="1" applyAlignment="1">
      <alignment/>
    </xf>
    <xf numFmtId="194" fontId="5" fillId="0" borderId="10" xfId="82" applyNumberFormat="1" applyFont="1" applyBorder="1" applyAlignment="1">
      <alignment/>
    </xf>
    <xf numFmtId="9" fontId="5" fillId="33" borderId="10" xfId="76" applyFont="1" applyFill="1" applyBorder="1" applyAlignment="1">
      <alignment/>
    </xf>
    <xf numFmtId="0" fontId="5" fillId="0" borderId="0" xfId="65" applyFont="1" applyFill="1" applyProtection="1">
      <alignment/>
      <protection locked="0"/>
    </xf>
    <xf numFmtId="0" fontId="16" fillId="0" borderId="0" xfId="65" applyFont="1" applyFill="1" applyProtection="1">
      <alignment/>
      <protection locked="0"/>
    </xf>
    <xf numFmtId="9" fontId="17" fillId="0" borderId="0" xfId="65" applyNumberFormat="1" applyFont="1" applyFill="1" applyProtection="1">
      <alignment/>
      <protection locked="0"/>
    </xf>
    <xf numFmtId="172" fontId="5" fillId="0" borderId="0" xfId="65" applyNumberFormat="1" applyFont="1" applyFill="1" applyProtection="1">
      <alignment/>
      <protection locked="0"/>
    </xf>
    <xf numFmtId="172" fontId="17" fillId="0" borderId="0" xfId="65" applyNumberFormat="1" applyFont="1" applyFill="1" applyProtection="1">
      <alignment/>
      <protection locked="0"/>
    </xf>
    <xf numFmtId="9" fontId="16" fillId="0" borderId="0" xfId="65" applyNumberFormat="1" applyFont="1" applyFill="1" applyProtection="1">
      <alignment/>
      <protection locked="0"/>
    </xf>
    <xf numFmtId="0" fontId="21" fillId="0" borderId="0" xfId="65" applyFont="1" applyFill="1" applyProtection="1">
      <alignment/>
      <protection locked="0"/>
    </xf>
    <xf numFmtId="0" fontId="16" fillId="0" borderId="10" xfId="65" applyFont="1" applyFill="1" applyBorder="1" applyProtection="1">
      <alignment/>
      <protection locked="0"/>
    </xf>
    <xf numFmtId="3" fontId="5" fillId="0" borderId="10" xfId="65" applyNumberFormat="1" applyFont="1" applyFill="1" applyBorder="1" applyAlignment="1" applyProtection="1">
      <alignment horizontal="center"/>
      <protection locked="0"/>
    </xf>
    <xf numFmtId="0" fontId="5" fillId="0" borderId="10" xfId="65" applyFont="1" applyFill="1" applyBorder="1" applyAlignment="1" applyProtection="1">
      <alignment vertical="top"/>
      <protection locked="0"/>
    </xf>
    <xf numFmtId="173" fontId="17" fillId="0" borderId="0" xfId="65" applyNumberFormat="1" applyFont="1" applyFill="1" applyProtection="1">
      <alignment/>
      <protection locked="0"/>
    </xf>
    <xf numFmtId="0" fontId="5" fillId="0" borderId="10" xfId="69" applyFont="1" applyFill="1" applyBorder="1" applyAlignment="1">
      <alignment horizontal="left" vertical="center" wrapText="1"/>
      <protection/>
    </xf>
    <xf numFmtId="0" fontId="16" fillId="0" borderId="10" xfId="69" applyFont="1" applyFill="1" applyBorder="1" applyAlignment="1">
      <alignment horizontal="center" vertical="center"/>
      <protection/>
    </xf>
    <xf numFmtId="0" fontId="5" fillId="0" borderId="10" xfId="71" applyFont="1" applyFill="1" applyBorder="1" applyAlignment="1">
      <alignment horizontal="center" vertical="center"/>
      <protection/>
    </xf>
    <xf numFmtId="0" fontId="16" fillId="0" borderId="10" xfId="71" applyFont="1" applyFill="1" applyBorder="1" applyAlignment="1">
      <alignment horizontal="center" vertical="center"/>
      <protection/>
    </xf>
    <xf numFmtId="0" fontId="5" fillId="0" borderId="0" xfId="65" applyFont="1" applyFill="1" applyAlignment="1" applyProtection="1">
      <alignment horizontal="center"/>
      <protection locked="0"/>
    </xf>
    <xf numFmtId="172" fontId="5" fillId="0" borderId="10" xfId="69" applyNumberFormat="1" applyFont="1" applyFill="1" applyBorder="1" applyAlignment="1">
      <alignment horizontal="right" vertical="center"/>
      <protection/>
    </xf>
    <xf numFmtId="172" fontId="5" fillId="0" borderId="10" xfId="65" applyNumberFormat="1" applyFont="1" applyFill="1" applyBorder="1" applyAlignment="1" applyProtection="1">
      <alignment/>
      <protection locked="0"/>
    </xf>
    <xf numFmtId="172" fontId="16" fillId="0" borderId="10" xfId="65" applyNumberFormat="1" applyFont="1" applyFill="1" applyBorder="1" applyAlignment="1" applyProtection="1">
      <alignment/>
      <protection locked="0"/>
    </xf>
    <xf numFmtId="0" fontId="5" fillId="0" borderId="0" xfId="65" applyFont="1" applyFill="1" applyAlignment="1" applyProtection="1">
      <alignment/>
      <protection locked="0"/>
    </xf>
    <xf numFmtId="0" fontId="5" fillId="0" borderId="0" xfId="65" applyFont="1" applyFill="1" applyAlignment="1" applyProtection="1">
      <alignment vertical="center"/>
      <protection locked="0"/>
    </xf>
    <xf numFmtId="0" fontId="5" fillId="36" borderId="10" xfId="69" applyFont="1" applyFill="1" applyBorder="1" applyAlignment="1">
      <alignment horizontal="left" vertical="center" wrapText="1" indent="2"/>
      <protection/>
    </xf>
    <xf numFmtId="172" fontId="5" fillId="39" borderId="10" xfId="65" applyNumberFormat="1" applyFont="1" applyFill="1" applyBorder="1" applyAlignment="1" applyProtection="1">
      <alignment/>
      <protection locked="0"/>
    </xf>
    <xf numFmtId="172" fontId="5" fillId="0" borderId="0" xfId="65" applyNumberFormat="1" applyFont="1" applyFill="1" applyAlignment="1" applyProtection="1">
      <alignment/>
      <protection locked="0"/>
    </xf>
    <xf numFmtId="172" fontId="65" fillId="0" borderId="0" xfId="65" applyNumberFormat="1" applyFont="1" applyFill="1" applyProtection="1">
      <alignment/>
      <protection locked="0"/>
    </xf>
    <xf numFmtId="3" fontId="5" fillId="0" borderId="0" xfId="0" applyNumberFormat="1" applyFont="1" applyAlignment="1">
      <alignment/>
    </xf>
    <xf numFmtId="210" fontId="5" fillId="0" borderId="0" xfId="0" applyNumberFormat="1" applyFont="1" applyAlignment="1">
      <alignment/>
    </xf>
    <xf numFmtId="1" fontId="5" fillId="34" borderId="14" xfId="70" applyNumberFormat="1" applyFont="1" applyFill="1" applyBorder="1" applyAlignment="1">
      <alignment horizontal="center" vertical="center" wrapText="1" shrinkToFit="1"/>
      <protection/>
    </xf>
    <xf numFmtId="0" fontId="16" fillId="37" borderId="10" xfId="0" applyFont="1" applyFill="1" applyBorder="1" applyAlignment="1">
      <alignment horizontal="left"/>
    </xf>
    <xf numFmtId="3" fontId="16" fillId="37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3" fontId="16" fillId="0" borderId="0" xfId="0" applyNumberFormat="1" applyFont="1" applyAlignment="1">
      <alignment/>
    </xf>
    <xf numFmtId="0" fontId="16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justify" vertical="top" wrapText="1"/>
    </xf>
    <xf numFmtId="3" fontId="5" fillId="0" borderId="10" xfId="0" applyNumberFormat="1" applyFont="1" applyBorder="1" applyAlignment="1">
      <alignment horizontal="right"/>
    </xf>
    <xf numFmtId="3" fontId="22" fillId="0" borderId="10" xfId="0" applyNumberFormat="1" applyFont="1" applyFill="1" applyBorder="1" applyAlignment="1">
      <alignment horizontal="right" vertical="top" wrapText="1"/>
    </xf>
    <xf numFmtId="3" fontId="22" fillId="0" borderId="10" xfId="0" applyNumberFormat="1" applyFont="1" applyBorder="1" applyAlignment="1">
      <alignment horizontal="right" vertical="top" wrapText="1"/>
    </xf>
    <xf numFmtId="187" fontId="22" fillId="0" borderId="1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 horizontal="justify" vertical="top" wrapText="1"/>
    </xf>
    <xf numFmtId="9" fontId="23" fillId="0" borderId="10" xfId="0" applyNumberFormat="1" applyFont="1" applyBorder="1" applyAlignment="1">
      <alignment horizontal="right" vertical="top" wrapText="1"/>
    </xf>
    <xf numFmtId="9" fontId="22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16" fillId="0" borderId="10" xfId="0" applyFont="1" applyFill="1" applyBorder="1" applyAlignment="1">
      <alignment horizontal="center"/>
    </xf>
    <xf numFmtId="0" fontId="16" fillId="2" borderId="10" xfId="0" applyFont="1" applyFill="1" applyBorder="1" applyAlignment="1">
      <alignment/>
    </xf>
    <xf numFmtId="3" fontId="16" fillId="2" borderId="10" xfId="0" applyNumberFormat="1" applyFont="1" applyFill="1" applyBorder="1" applyAlignment="1">
      <alignment/>
    </xf>
    <xf numFmtId="3" fontId="5" fillId="2" borderId="10" xfId="0" applyNumberFormat="1" applyFont="1" applyFill="1" applyBorder="1" applyAlignment="1">
      <alignment horizontal="center" wrapText="1" shrinkToFi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3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1" fillId="0" borderId="0" xfId="53" applyAlignment="1" applyProtection="1">
      <alignment/>
      <protection/>
    </xf>
    <xf numFmtId="3" fontId="5" fillId="0" borderId="10" xfId="0" applyNumberFormat="1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177" fontId="5" fillId="35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0" fontId="44" fillId="0" borderId="0" xfId="71" applyFont="1" applyFill="1" applyBorder="1" applyAlignment="1">
      <alignment/>
      <protection/>
    </xf>
    <xf numFmtId="0" fontId="16" fillId="0" borderId="0" xfId="71" applyFont="1" applyFill="1" applyBorder="1" applyAlignment="1">
      <alignment horizontal="left"/>
      <protection/>
    </xf>
    <xf numFmtId="0" fontId="5" fillId="0" borderId="0" xfId="71" applyFont="1" applyFill="1" applyBorder="1" applyAlignment="1">
      <alignment/>
      <protection/>
    </xf>
    <xf numFmtId="0" fontId="16" fillId="0" borderId="0" xfId="71" applyFont="1" applyFill="1" applyBorder="1" applyAlignment="1">
      <alignment/>
      <protection/>
    </xf>
    <xf numFmtId="0" fontId="16" fillId="0" borderId="0" xfId="0" applyFont="1" applyAlignment="1">
      <alignment/>
    </xf>
    <xf numFmtId="0" fontId="5" fillId="0" borderId="0" xfId="71" applyFont="1" applyFill="1" applyBorder="1" applyAlignment="1">
      <alignment horizontal="center"/>
      <protection/>
    </xf>
    <xf numFmtId="3" fontId="5" fillId="33" borderId="10" xfId="0" applyNumberFormat="1" applyFont="1" applyFill="1" applyBorder="1" applyAlignment="1">
      <alignment horizontal="right"/>
    </xf>
    <xf numFmtId="4" fontId="5" fillId="0" borderId="0" xfId="71" applyNumberFormat="1" applyFont="1" applyFill="1" applyBorder="1" applyAlignment="1">
      <alignment wrapText="1" shrinkToFit="1"/>
      <protection/>
    </xf>
    <xf numFmtId="0" fontId="5" fillId="0" borderId="10" xfId="0" applyFont="1" applyBorder="1" applyAlignment="1">
      <alignment horizontal="left" wrapText="1"/>
    </xf>
    <xf numFmtId="177" fontId="16" fillId="0" borderId="10" xfId="0" applyNumberFormat="1" applyFont="1" applyBorder="1" applyAlignment="1">
      <alignment/>
    </xf>
    <xf numFmtId="173" fontId="5" fillId="33" borderId="10" xfId="0" applyNumberFormat="1" applyFont="1" applyFill="1" applyBorder="1" applyAlignment="1">
      <alignment/>
    </xf>
    <xf numFmtId="0" fontId="5" fillId="0" borderId="10" xfId="71" applyFont="1" applyFill="1" applyBorder="1" applyAlignment="1">
      <alignment horizontal="left" vertical="top"/>
      <protection/>
    </xf>
    <xf numFmtId="3" fontId="14" fillId="0" borderId="0" xfId="0" applyNumberFormat="1" applyFont="1" applyAlignment="1">
      <alignment/>
    </xf>
    <xf numFmtId="0" fontId="66" fillId="0" borderId="0" xfId="66" applyFont="1" applyAlignment="1">
      <alignment vertical="center"/>
      <protection/>
    </xf>
    <xf numFmtId="0" fontId="66" fillId="0" borderId="0" xfId="66" applyFont="1" applyAlignment="1">
      <alignment horizontal="right" vertical="center"/>
      <protection/>
    </xf>
    <xf numFmtId="0" fontId="66" fillId="0" borderId="0" xfId="66" applyFont="1">
      <alignment/>
      <protection/>
    </xf>
    <xf numFmtId="0" fontId="67" fillId="2" borderId="11" xfId="67" applyFont="1" applyFill="1" applyBorder="1" applyAlignment="1">
      <alignment vertical="center"/>
      <protection/>
    </xf>
    <xf numFmtId="3" fontId="67" fillId="2" borderId="10" xfId="67" applyNumberFormat="1" applyFont="1" applyFill="1" applyBorder="1" applyAlignment="1">
      <alignment horizontal="center" vertical="center"/>
      <protection/>
    </xf>
    <xf numFmtId="0" fontId="66" fillId="0" borderId="10" xfId="66" applyFont="1" applyBorder="1" applyAlignment="1">
      <alignment vertical="center"/>
      <protection/>
    </xf>
    <xf numFmtId="3" fontId="66" fillId="0" borderId="10" xfId="66" applyNumberFormat="1" applyFont="1" applyFill="1" applyBorder="1" applyAlignment="1">
      <alignment horizontal="right" vertical="center"/>
      <protection/>
    </xf>
    <xf numFmtId="0" fontId="67" fillId="0" borderId="10" xfId="66" applyFont="1" applyBorder="1" applyAlignment="1">
      <alignment vertical="center"/>
      <protection/>
    </xf>
    <xf numFmtId="3" fontId="67" fillId="0" borderId="10" xfId="66" applyNumberFormat="1" applyFont="1" applyFill="1" applyBorder="1" applyAlignment="1">
      <alignment horizontal="right" vertical="center"/>
      <protection/>
    </xf>
    <xf numFmtId="0" fontId="66" fillId="0" borderId="0" xfId="66" applyFont="1" applyBorder="1" applyAlignment="1">
      <alignment vertical="center"/>
      <protection/>
    </xf>
    <xf numFmtId="3" fontId="66" fillId="0" borderId="0" xfId="66" applyNumberFormat="1" applyFont="1" applyBorder="1" applyAlignment="1">
      <alignment horizontal="right" vertical="center"/>
      <protection/>
    </xf>
    <xf numFmtId="49" fontId="66" fillId="0" borderId="10" xfId="66" applyNumberFormat="1" applyFont="1" applyFill="1" applyBorder="1" applyAlignment="1">
      <alignment horizontal="right" vertical="center"/>
      <protection/>
    </xf>
    <xf numFmtId="9" fontId="66" fillId="0" borderId="10" xfId="66" applyNumberFormat="1" applyFont="1" applyFill="1" applyBorder="1" applyAlignment="1">
      <alignment horizontal="right" vertical="center"/>
      <protection/>
    </xf>
    <xf numFmtId="9" fontId="67" fillId="0" borderId="10" xfId="66" applyNumberFormat="1" applyFont="1" applyFill="1" applyBorder="1" applyAlignment="1">
      <alignment horizontal="right" vertical="center"/>
      <protection/>
    </xf>
    <xf numFmtId="0" fontId="66" fillId="0" borderId="0" xfId="66" applyFont="1" applyBorder="1" applyAlignment="1">
      <alignment horizontal="left" vertical="center"/>
      <protection/>
    </xf>
    <xf numFmtId="0" fontId="66" fillId="0" borderId="0" xfId="66" applyFont="1" applyBorder="1" applyAlignment="1">
      <alignment horizontal="right" vertical="center"/>
      <protection/>
    </xf>
    <xf numFmtId="177" fontId="66" fillId="0" borderId="10" xfId="66" applyNumberFormat="1" applyFont="1" applyFill="1" applyBorder="1" applyAlignment="1">
      <alignment horizontal="right" vertical="center"/>
      <protection/>
    </xf>
    <xf numFmtId="0" fontId="67" fillId="0" borderId="0" xfId="66" applyFont="1" applyAlignment="1">
      <alignment vertical="center"/>
      <protection/>
    </xf>
    <xf numFmtId="0" fontId="66" fillId="0" borderId="10" xfId="66" applyFont="1" applyBorder="1" applyAlignment="1">
      <alignment vertical="center" wrapText="1"/>
      <protection/>
    </xf>
    <xf numFmtId="3" fontId="66" fillId="2" borderId="10" xfId="66" applyNumberFormat="1" applyFont="1" applyFill="1" applyBorder="1" applyAlignment="1">
      <alignment horizontal="right" vertical="center"/>
      <protection/>
    </xf>
    <xf numFmtId="0" fontId="67" fillId="2" borderId="10" xfId="66" applyFont="1" applyFill="1" applyBorder="1" applyAlignment="1">
      <alignment vertical="center"/>
      <protection/>
    </xf>
    <xf numFmtId="3" fontId="67" fillId="2" borderId="10" xfId="66" applyNumberFormat="1" applyFont="1" applyFill="1" applyBorder="1" applyAlignment="1">
      <alignment horizontal="right" vertical="center"/>
      <protection/>
    </xf>
    <xf numFmtId="49" fontId="66" fillId="0" borderId="10" xfId="66" applyNumberFormat="1" applyFont="1" applyFill="1" applyBorder="1" applyAlignment="1">
      <alignment horizontal="right" vertical="center" wrapText="1"/>
      <protection/>
    </xf>
    <xf numFmtId="0" fontId="66" fillId="0" borderId="0" xfId="66" applyFont="1" applyFill="1">
      <alignment/>
      <protection/>
    </xf>
    <xf numFmtId="49" fontId="16" fillId="0" borderId="10" xfId="0" applyNumberFormat="1" applyFont="1" applyBorder="1" applyAlignment="1">
      <alignment horizontal="left" wrapText="1"/>
    </xf>
    <xf numFmtId="173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/>
    </xf>
    <xf numFmtId="0" fontId="16" fillId="2" borderId="10" xfId="0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/>
    </xf>
    <xf numFmtId="173" fontId="5" fillId="0" borderId="10" xfId="0" applyNumberFormat="1" applyFont="1" applyBorder="1" applyAlignment="1">
      <alignment/>
    </xf>
    <xf numFmtId="0" fontId="5" fillId="0" borderId="10" xfId="66" applyFont="1" applyBorder="1" applyAlignment="1">
      <alignment vertical="center"/>
      <protection/>
    </xf>
    <xf numFmtId="0" fontId="16" fillId="0" borderId="10" xfId="66" applyFont="1" applyBorder="1" applyAlignment="1">
      <alignment vertical="center"/>
      <protection/>
    </xf>
    <xf numFmtId="0" fontId="66" fillId="0" borderId="14" xfId="66" applyFont="1" applyBorder="1" applyAlignment="1">
      <alignment vertical="center"/>
      <protection/>
    </xf>
    <xf numFmtId="3" fontId="66" fillId="0" borderId="14" xfId="66" applyNumberFormat="1" applyFont="1" applyFill="1" applyBorder="1" applyAlignment="1">
      <alignment horizontal="right" vertical="center"/>
      <protection/>
    </xf>
    <xf numFmtId="0" fontId="67" fillId="0" borderId="11" xfId="66" applyFont="1" applyBorder="1" applyAlignment="1">
      <alignment vertical="center"/>
      <protection/>
    </xf>
    <xf numFmtId="3" fontId="66" fillId="0" borderId="16" xfId="66" applyNumberFormat="1" applyFont="1" applyFill="1" applyBorder="1" applyAlignment="1">
      <alignment horizontal="right" vertical="center"/>
      <protection/>
    </xf>
    <xf numFmtId="3" fontId="5" fillId="35" borderId="10" xfId="0" applyNumberFormat="1" applyFont="1" applyFill="1" applyBorder="1" applyAlignment="1">
      <alignment vertical="center"/>
    </xf>
    <xf numFmtId="177" fontId="16" fillId="0" borderId="0" xfId="0" applyNumberFormat="1" applyFont="1" applyAlignment="1">
      <alignment/>
    </xf>
    <xf numFmtId="0" fontId="5" fillId="0" borderId="0" xfId="66" applyFont="1" applyFill="1">
      <alignment/>
      <protection/>
    </xf>
    <xf numFmtId="0" fontId="5" fillId="0" borderId="10" xfId="0" applyFont="1" applyBorder="1" applyAlignment="1">
      <alignment horizontal="left" indent="3"/>
    </xf>
    <xf numFmtId="3" fontId="5" fillId="35" borderId="10" xfId="0" applyNumberFormat="1" applyFont="1" applyFill="1" applyBorder="1" applyAlignment="1">
      <alignment horizontal="center"/>
    </xf>
    <xf numFmtId="4" fontId="5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9" fontId="67" fillId="2" borderId="10" xfId="66" applyNumberFormat="1" applyFont="1" applyFill="1" applyBorder="1" applyAlignment="1">
      <alignment horizontal="center" vertical="center"/>
      <protection/>
    </xf>
    <xf numFmtId="0" fontId="67" fillId="2" borderId="10" xfId="67" applyFont="1" applyFill="1" applyBorder="1" applyAlignment="1">
      <alignment vertical="center"/>
      <protection/>
    </xf>
    <xf numFmtId="177" fontId="66" fillId="0" borderId="10" xfId="66" applyNumberFormat="1" applyFont="1" applyFill="1" applyBorder="1" applyAlignment="1">
      <alignment vertical="center"/>
      <protection/>
    </xf>
    <xf numFmtId="9" fontId="5" fillId="0" borderId="10" xfId="0" applyNumberFormat="1" applyFont="1" applyBorder="1" applyAlignment="1">
      <alignment horizontal="center"/>
    </xf>
    <xf numFmtId="9" fontId="5" fillId="35" borderId="10" xfId="0" applyNumberFormat="1" applyFont="1" applyFill="1" applyBorder="1" applyAlignment="1">
      <alignment horizontal="center"/>
    </xf>
    <xf numFmtId="3" fontId="5" fillId="3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0" fontId="5" fillId="3" borderId="13" xfId="0" applyFont="1" applyFill="1" applyBorder="1" applyAlignment="1">
      <alignment/>
    </xf>
    <xf numFmtId="1" fontId="5" fillId="3" borderId="13" xfId="0" applyNumberFormat="1" applyFont="1" applyFill="1" applyBorder="1" applyAlignment="1">
      <alignment/>
    </xf>
    <xf numFmtId="177" fontId="5" fillId="3" borderId="13" xfId="0" applyNumberFormat="1" applyFont="1" applyFill="1" applyBorder="1" applyAlignment="1">
      <alignment/>
    </xf>
    <xf numFmtId="0" fontId="21" fillId="0" borderId="11" xfId="0" applyFont="1" applyBorder="1" applyAlignment="1">
      <alignment/>
    </xf>
    <xf numFmtId="176" fontId="21" fillId="0" borderId="16" xfId="0" applyNumberFormat="1" applyFont="1" applyBorder="1" applyAlignment="1">
      <alignment/>
    </xf>
    <xf numFmtId="176" fontId="21" fillId="0" borderId="12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/>
    </xf>
    <xf numFmtId="49" fontId="16" fillId="0" borderId="10" xfId="0" applyNumberFormat="1" applyFont="1" applyBorder="1" applyAlignment="1">
      <alignment horizontal="left"/>
    </xf>
    <xf numFmtId="0" fontId="68" fillId="0" borderId="0" xfId="53" applyFont="1" applyAlignment="1" applyProtection="1">
      <alignment/>
      <protection/>
    </xf>
    <xf numFmtId="0" fontId="16" fillId="0" borderId="13" xfId="70" applyFont="1" applyFill="1" applyBorder="1" applyAlignment="1">
      <alignment horizontal="center" vertical="center" wrapText="1"/>
      <protection/>
    </xf>
    <xf numFmtId="0" fontId="16" fillId="0" borderId="14" xfId="70" applyFont="1" applyFill="1" applyBorder="1" applyAlignment="1">
      <alignment horizontal="center" vertical="center" wrapText="1"/>
      <protection/>
    </xf>
    <xf numFmtId="0" fontId="16" fillId="0" borderId="10" xfId="70" applyFont="1" applyFill="1" applyBorder="1" applyAlignment="1">
      <alignment horizontal="center" vertical="center" wrapText="1"/>
      <protection/>
    </xf>
    <xf numFmtId="172" fontId="16" fillId="34" borderId="16" xfId="70" applyNumberFormat="1" applyFont="1" applyFill="1" applyBorder="1" applyAlignment="1">
      <alignment horizontal="center" vertical="center"/>
      <protection/>
    </xf>
    <xf numFmtId="0" fontId="16" fillId="34" borderId="16" xfId="70" applyFont="1" applyFill="1" applyBorder="1" applyAlignment="1">
      <alignment horizontal="center" vertical="center"/>
      <protection/>
    </xf>
    <xf numFmtId="0" fontId="16" fillId="34" borderId="12" xfId="70" applyFont="1" applyFill="1" applyBorder="1" applyAlignment="1">
      <alignment horizontal="center" vertical="center"/>
      <protection/>
    </xf>
    <xf numFmtId="172" fontId="16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34" borderId="17" xfId="70" applyFont="1" applyFill="1" applyBorder="1" applyAlignment="1">
      <alignment horizontal="center" vertical="center" wrapText="1" shrinkToFit="1"/>
      <protection/>
    </xf>
    <xf numFmtId="0" fontId="16" fillId="34" borderId="18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 wrapText="1" shrinkToFit="1"/>
      <protection/>
    </xf>
    <xf numFmtId="0" fontId="16" fillId="34" borderId="14" xfId="70" applyFont="1" applyFill="1" applyBorder="1" applyAlignment="1">
      <alignment horizontal="center" vertical="center" wrapText="1" shrinkToFit="1"/>
      <protection/>
    </xf>
    <xf numFmtId="0" fontId="16" fillId="34" borderId="10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/>
      <protection/>
    </xf>
    <xf numFmtId="0" fontId="16" fillId="34" borderId="14" xfId="70" applyFont="1" applyFill="1" applyBorder="1" applyAlignment="1">
      <alignment horizontal="center" vertical="center"/>
      <protection/>
    </xf>
    <xf numFmtId="0" fontId="16" fillId="34" borderId="17" xfId="71" applyFont="1" applyFill="1" applyBorder="1" applyAlignment="1">
      <alignment horizontal="center" vertical="center" wrapText="1" shrinkToFit="1"/>
      <protection/>
    </xf>
    <xf numFmtId="0" fontId="16" fillId="34" borderId="18" xfId="71" applyFont="1" applyFill="1" applyBorder="1" applyAlignment="1">
      <alignment horizontal="center" vertical="center" wrapText="1" shrinkToFit="1"/>
      <protection/>
    </xf>
    <xf numFmtId="0" fontId="16" fillId="34" borderId="10" xfId="71" applyFont="1" applyFill="1" applyBorder="1" applyAlignment="1">
      <alignment horizontal="center" vertical="center"/>
      <protection/>
    </xf>
    <xf numFmtId="172" fontId="16" fillId="34" borderId="10" xfId="71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left"/>
    </xf>
    <xf numFmtId="0" fontId="16" fillId="2" borderId="13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34" borderId="17" xfId="71" applyFont="1" applyFill="1" applyBorder="1" applyAlignment="1">
      <alignment horizontal="center" vertical="center"/>
      <protection/>
    </xf>
    <xf numFmtId="0" fontId="16" fillId="34" borderId="18" xfId="7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0" fontId="16" fillId="0" borderId="10" xfId="71" applyFont="1" applyFill="1" applyBorder="1" applyAlignment="1">
      <alignment horizontal="center" vertical="center" wrapText="1"/>
      <protection/>
    </xf>
    <xf numFmtId="172" fontId="16" fillId="34" borderId="11" xfId="70" applyNumberFormat="1" applyFont="1" applyFill="1" applyBorder="1" applyAlignment="1">
      <alignment horizontal="center" vertical="center" wrapText="1" shrinkToFit="1"/>
      <protection/>
    </xf>
    <xf numFmtId="172" fontId="16" fillId="34" borderId="16" xfId="70" applyNumberFormat="1" applyFont="1" applyFill="1" applyBorder="1" applyAlignment="1">
      <alignment horizontal="center" vertical="center" wrapText="1" shrinkToFit="1"/>
      <protection/>
    </xf>
    <xf numFmtId="172" fontId="16" fillId="34" borderId="12" xfId="70" applyNumberFormat="1" applyFont="1" applyFill="1" applyBorder="1" applyAlignment="1">
      <alignment horizontal="center" vertical="center" wrapText="1" shrinkToFit="1"/>
      <protection/>
    </xf>
    <xf numFmtId="0" fontId="16" fillId="34" borderId="1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 wrapText="1" shrinkToFit="1"/>
    </xf>
    <xf numFmtId="0" fontId="16" fillId="34" borderId="10" xfId="0" applyFont="1" applyFill="1" applyBorder="1" applyAlignment="1">
      <alignment horizontal="center" vertical="center" wrapText="1"/>
    </xf>
    <xf numFmtId="0" fontId="68" fillId="0" borderId="0" xfId="53" applyFont="1" applyAlignment="1" applyProtection="1">
      <alignment horizontal="left" vertical="center" wrapText="1"/>
      <protection/>
    </xf>
    <xf numFmtId="0" fontId="67" fillId="2" borderId="13" xfId="67" applyFont="1" applyFill="1" applyBorder="1" applyAlignment="1">
      <alignment horizontal="left" vertical="center"/>
      <protection/>
    </xf>
    <xf numFmtId="0" fontId="67" fillId="2" borderId="14" xfId="67" applyFont="1" applyFill="1" applyBorder="1" applyAlignment="1">
      <alignment horizontal="left" vertical="center"/>
      <protection/>
    </xf>
    <xf numFmtId="3" fontId="67" fillId="2" borderId="10" xfId="67" applyNumberFormat="1" applyFont="1" applyFill="1" applyBorder="1" applyAlignment="1">
      <alignment horizontal="center" vertical="center"/>
      <protection/>
    </xf>
    <xf numFmtId="3" fontId="67" fillId="2" borderId="11" xfId="67" applyNumberFormat="1" applyFont="1" applyFill="1" applyBorder="1" applyAlignment="1">
      <alignment horizontal="center" vertical="center"/>
      <protection/>
    </xf>
    <xf numFmtId="3" fontId="67" fillId="2" borderId="16" xfId="67" applyNumberFormat="1" applyFont="1" applyFill="1" applyBorder="1" applyAlignment="1">
      <alignment horizontal="center" vertical="center"/>
      <protection/>
    </xf>
    <xf numFmtId="3" fontId="67" fillId="2" borderId="12" xfId="67" applyNumberFormat="1" applyFont="1" applyFill="1" applyBorder="1" applyAlignment="1">
      <alignment horizontal="center" vertical="center"/>
      <protection/>
    </xf>
  </cellXfs>
  <cellStyles count="76">
    <cellStyle name="Normal" xfId="0"/>
    <cellStyle name="_Бюджет_2007_3_22,12,06 вар.после набл.совета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Euro" xfId="34"/>
    <cellStyle name="Flag" xfId="35"/>
    <cellStyle name="Milliers [0]_JULY97" xfId="36"/>
    <cellStyle name="Milliers_JULY97" xfId="37"/>
    <cellStyle name="Monétaire [0]_JULY97" xfId="38"/>
    <cellStyle name="Monétaire_JULY97" xfId="39"/>
    <cellStyle name="Normal_Assump." xfId="40"/>
    <cellStyle name="Option" xfId="41"/>
    <cellStyle name="Price" xfId="42"/>
    <cellStyle name="Unit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_Алтын-ОрдаНовыйБП" xfId="64"/>
    <cellStyle name="Обычный_Алтын-ОрдаНовыйБП 2" xfId="65"/>
    <cellStyle name="Обычный_БП кир завод 3.3  (40 млн. +20 забут реал на 18.07.06 для АФ увел курс)" xfId="66"/>
    <cellStyle name="Обычный_Копия cityrus4-18 лет СМР 52 млн $" xfId="67"/>
    <cellStyle name="Обычный_НовыйМир" xfId="68"/>
    <cellStyle name="Обычный_ПереченьКЗ" xfId="69"/>
    <cellStyle name="Обычный_Формы отчетов" xfId="70"/>
    <cellStyle name="Обычный_Формы отчетов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Процентный 2" xfId="77"/>
    <cellStyle name="Связанная ячейка" xfId="78"/>
    <cellStyle name="Стиль 1" xfId="79"/>
    <cellStyle name="Текст предупреждения" xfId="80"/>
    <cellStyle name="Тысячи [0]" xfId="81"/>
    <cellStyle name="Comma" xfId="82"/>
    <cellStyle name="Comma [0]" xfId="83"/>
    <cellStyle name="Хороший" xfId="84"/>
    <cellStyle name="桁区切り [0.00]_PERSONAL" xfId="85"/>
    <cellStyle name="桁区切り_PERSONAL" xfId="86"/>
    <cellStyle name="標準_PERSONAL" xfId="87"/>
    <cellStyle name="通貨 [0.00]_PERSONAL" xfId="88"/>
    <cellStyle name="通貨_PERSONAL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externalLink" Target="externalLinks/externalLink21.xml" /><Relationship Id="rId37" Type="http://schemas.openxmlformats.org/officeDocument/2006/relationships/externalLink" Target="externalLinks/externalLink22.xml" /><Relationship Id="rId38" Type="http://schemas.openxmlformats.org/officeDocument/2006/relationships/externalLink" Target="externalLinks/externalLink23.xml" /><Relationship Id="rId39" Type="http://schemas.openxmlformats.org/officeDocument/2006/relationships/externalLink" Target="externalLinks/externalLink24.xml" /><Relationship Id="rId40" Type="http://schemas.openxmlformats.org/officeDocument/2006/relationships/externalLink" Target="externalLinks/externalLink25.xml" /><Relationship Id="rId41" Type="http://schemas.openxmlformats.org/officeDocument/2006/relationships/externalLink" Target="externalLinks/externalLink26.xml" /><Relationship Id="rId42" Type="http://schemas.openxmlformats.org/officeDocument/2006/relationships/externalLink" Target="externalLinks/externalLink27.xml" /><Relationship Id="rId43" Type="http://schemas.openxmlformats.org/officeDocument/2006/relationships/externalLink" Target="externalLinks/externalLink28.xml" /><Relationship Id="rId44" Type="http://schemas.openxmlformats.org/officeDocument/2006/relationships/externalLink" Target="externalLinks/externalLink29.xml" /><Relationship Id="rId45" Type="http://schemas.openxmlformats.org/officeDocument/2006/relationships/externalLink" Target="externalLinks/externalLink30.xml" /><Relationship Id="rId46" Type="http://schemas.openxmlformats.org/officeDocument/2006/relationships/externalLink" Target="externalLinks/externalLink31.xml" /><Relationship Id="rId47" Type="http://schemas.openxmlformats.org/officeDocument/2006/relationships/externalLink" Target="externalLinks/externalLink32.xml" /><Relationship Id="rId48" Type="http://schemas.openxmlformats.org/officeDocument/2006/relationships/externalLink" Target="externalLinks/externalLink33.xml" /><Relationship Id="rId49" Type="http://schemas.openxmlformats.org/officeDocument/2006/relationships/externalLink" Target="externalLinks/externalLink34.xml" /><Relationship Id="rId50" Type="http://schemas.openxmlformats.org/officeDocument/2006/relationships/externalLink" Target="externalLinks/externalLink35.xml" /><Relationship Id="rId51" Type="http://schemas.openxmlformats.org/officeDocument/2006/relationships/externalLink" Target="externalLinks/externalLink36.xml" /><Relationship Id="rId52" Type="http://schemas.openxmlformats.org/officeDocument/2006/relationships/externalLink" Target="externalLinks/externalLink37.xml" /><Relationship Id="rId53" Type="http://schemas.openxmlformats.org/officeDocument/2006/relationships/externalLink" Target="externalLinks/externalLink38.xml" /><Relationship Id="rId54" Type="http://schemas.openxmlformats.org/officeDocument/2006/relationships/externalLink" Target="externalLinks/externalLink39.xml" /><Relationship Id="rId55" Type="http://schemas.openxmlformats.org/officeDocument/2006/relationships/externalLink" Target="externalLinks/externalLink40.xml" /><Relationship Id="rId56" Type="http://schemas.openxmlformats.org/officeDocument/2006/relationships/externalLink" Target="externalLinks/externalLink41.xml" /><Relationship Id="rId57" Type="http://schemas.openxmlformats.org/officeDocument/2006/relationships/externalLink" Target="externalLinks/externalLink42.xml" /><Relationship Id="rId58" Type="http://schemas.openxmlformats.org/officeDocument/2006/relationships/externalLink" Target="externalLinks/externalLink43.xml" /><Relationship Id="rId59" Type="http://schemas.openxmlformats.org/officeDocument/2006/relationships/externalLink" Target="externalLinks/externalLink44.xml" /><Relationship Id="rId60" Type="http://schemas.openxmlformats.org/officeDocument/2006/relationships/externalLink" Target="externalLinks/externalLink45.xml" /><Relationship Id="rId61" Type="http://schemas.openxmlformats.org/officeDocument/2006/relationships/externalLink" Target="externalLinks/externalLink46.xml" /><Relationship Id="rId62" Type="http://schemas.openxmlformats.org/officeDocument/2006/relationships/externalLink" Target="externalLinks/externalLink47.xml" /><Relationship Id="rId63" Type="http://schemas.openxmlformats.org/officeDocument/2006/relationships/externalLink" Target="externalLinks/externalLink48.xml" /><Relationship Id="rId64" Type="http://schemas.openxmlformats.org/officeDocument/2006/relationships/externalLink" Target="externalLinks/externalLink49.xml" /><Relationship Id="rId65" Type="http://schemas.openxmlformats.org/officeDocument/2006/relationships/externalLink" Target="externalLinks/externalLink50.xml" /><Relationship Id="rId66" Type="http://schemas.openxmlformats.org/officeDocument/2006/relationships/externalLink" Target="externalLinks/externalLink51.xml" /><Relationship Id="rId67" Type="http://schemas.openxmlformats.org/officeDocument/2006/relationships/externalLink" Target="externalLinks/externalLink52.xml" /><Relationship Id="rId68" Type="http://schemas.openxmlformats.org/officeDocument/2006/relationships/externalLink" Target="externalLinks/externalLink53.xml" /><Relationship Id="rId69" Type="http://schemas.openxmlformats.org/officeDocument/2006/relationships/externalLink" Target="externalLinks/externalLink54.xml" /><Relationship Id="rId70" Type="http://schemas.openxmlformats.org/officeDocument/2006/relationships/externalLink" Target="externalLinks/externalLink55.xml" /><Relationship Id="rId71" Type="http://schemas.openxmlformats.org/officeDocument/2006/relationships/externalLink" Target="externalLinks/externalLink56.xml" /><Relationship Id="rId72" Type="http://schemas.openxmlformats.org/officeDocument/2006/relationships/externalLink" Target="externalLinks/externalLink57.xml" /><Relationship Id="rId73" Type="http://schemas.openxmlformats.org/officeDocument/2006/relationships/externalLink" Target="externalLinks/externalLink58.xml" /><Relationship Id="rId74" Type="http://schemas.openxmlformats.org/officeDocument/2006/relationships/externalLink" Target="externalLinks/externalLink59.xml" /><Relationship Id="rId75" Type="http://schemas.openxmlformats.org/officeDocument/2006/relationships/externalLink" Target="externalLinks/externalLink60.xml" /><Relationship Id="rId76" Type="http://schemas.openxmlformats.org/officeDocument/2006/relationships/externalLink" Target="externalLinks/externalLink61.xml" /><Relationship Id="rId77" Type="http://schemas.openxmlformats.org/officeDocument/2006/relationships/externalLink" Target="externalLinks/externalLink62.xml" /><Relationship Id="rId78" Type="http://schemas.openxmlformats.org/officeDocument/2006/relationships/externalLink" Target="externalLinks/externalLink63.xml" /><Relationship Id="rId79" Type="http://schemas.openxmlformats.org/officeDocument/2006/relationships/externalLink" Target="externalLinks/externalLink64.xml" /><Relationship Id="rId80" Type="http://schemas.openxmlformats.org/officeDocument/2006/relationships/externalLink" Target="externalLinks/externalLink65.xml" /><Relationship Id="rId81" Type="http://schemas.openxmlformats.org/officeDocument/2006/relationships/externalLink" Target="externalLinks/externalLink66.xml" /><Relationship Id="rId82" Type="http://schemas.openxmlformats.org/officeDocument/2006/relationships/externalLink" Target="externalLinks/externalLink67.xml" /><Relationship Id="rId83" Type="http://schemas.openxmlformats.org/officeDocument/2006/relationships/externalLink" Target="externalLinks/externalLink68.xml" /><Relationship Id="rId84" Type="http://schemas.openxmlformats.org/officeDocument/2006/relationships/externalLink" Target="externalLinks/externalLink69.xml" /><Relationship Id="rId85" Type="http://schemas.openxmlformats.org/officeDocument/2006/relationships/externalLink" Target="externalLinks/externalLink70.xml" /><Relationship Id="rId8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74;&#1089;&#1103;&#1082;&#1080;&#1081;%20&#1073;&#1091;&#1090;&#1086;&#1088;\SYS\98WIN\TEMP\&#1055;&#1088;&#1080;&#1083;&#1086;&#1078;&#1077;&#1085;&#1080;&#1077;%20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7;&#1077;&#1088;&#1085;&#1086;&#1074;&#1072;&#1103;_&#1051;&#1050;\Proj_&#1047;&#1051;&#1050;_&#1087;&#1096;&#1077;&#1085;&#1080;&#1094;&#1072;_50%_&#1083;&#1080;&#1079;_&#1087;&#1083;&#1072;&#109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AL_&#1047;&#1077;&#1088;&#1085;&#1051;&#105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~1\GH_KUS~1\LOCALS~1\Temp\bat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smanov\&#1052;&#1086;&#1080;%20&#1076;&#1086;&#1082;&#1091;&#1084;&#1077;&#1085;&#1090;&#1099;\Documents%20and%20Settings\kusmanov\Desktop\&#1069;&#1082;&#1086;&#1090;&#1086;&#1085;+_&#1040;&#1082;&#1090;&#1102;&#1073;&#1080;&#1085;&#1089;&#108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64;&#1072;&#1073;&#1083;&#1086;&#1085;&#1099;\&#1064;&#1072;&#1073;&#1083;&#1086;&#108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51;&#1044;&#1050;%20&#1060;3+&#1060;2%20&#1073;&#1077;&#1079;%20&#1048;&#1060;&#105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55;&#1088;&#1086;&#1095;&#1080;&#1077;%20&#1087;&#1088;&#1086;&#1077;&#1082;&#1090;&#1099;\&#1050;&#1072;&#1092;&#1077;\&#1058;&#1069;&#1054;%2010.09.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52;&#1051;&#1044;&#1050;%20&#1060;3+&#1060;2%20&#1073;&#1077;&#1079;%20&#1048;&#1060;&#105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70;&#1076;&#1072;&#1096;&#1082;&#1080;&#1085;%20&#1075;&#1086;&#1090;&#1086;&#1074;&#1099;&#1081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q\&#1056;&#1072;&#1073;&#1086;&#1095;&#1080;&#1081;%20&#1089;&#1090;&#1086;&#1083;\&#1056;&#1040;&#1057;&#1063;&#1045;&#1058;&#106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54;&#1073;&#1097;&#1080;&#1077;%20&#1076;&#1086;&#1082;&#1091;&#1084;&#1077;&#1085;&#1090;&#1099;\Documents%20and%20Settings\k_abdrahmanov\&#1056;&#1072;&#1073;&#1086;&#1095;&#1080;&#1081;%20&#1089;&#1090;&#1086;&#1083;\&#1048;&#1085;&#1092;&#1086;%20&#1040;&#1082;&#1090;&#1086;&#1073;&#1077;\&#1085;&#1086;&#1074;&#1099;&#1081;%20&#1041;&#1055;%20%20&#1080;&#1089;&#1087;&#1088;%20&#1089;%20&#1091;&#1095;.%20&#1092;&#1080;&#1085;.%20NB%2007.02.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erver\monitoring\Shared\&#1050;&#1086;&#1087;&#1080;&#1103;%20&#1056;&#1077;&#1085;&#1090;&#1072;&#1073;&#1077;&#1083;&#1100;&#1085;&#1086;&#1089;&#1090;&#110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I_FROL~1\LOCALS~1\Temp\bat\ENKI\&#1053;&#1077;&#1088;&#1091;&#1076;%20&#1084;&#1086;&#1080;%20&#1088;&#1072;&#1089;&#1095;&#1105;&#1090;&#1099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6A75EE9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tes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15E674E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m_anfinogenov\&#1056;&#1072;&#1073;&#1086;&#1095;&#1080;&#1081;%20&#1089;&#1090;&#1086;&#1083;\&#1047;&#1086;&#1083;&#1086;&#1090;&#1086;&#1081;%20&#1087;&#1088;&#1080;&#1080;&#1089;&#1082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2;&#1051;&#1044;&#1050;%20&#1060;3+&#1060;2%20&#1073;&#1077;&#1079;%20&#1048;&#1060;&#105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6A75EE9B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WINDOWS\TEMP\Rar$DI01.712\&#1069;&#1082;&#1086;&#1090;&#1086;&#1085;%2011.03.04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6;&#1072;&#1089;&#1095;&#1077;&#1090;%20&#1087;&#1086;%20&#1084;&#1080;&#1085;&#1080;&#1084;&#1072;&#1088;&#1082;&#1077;&#1090;&#1091;%2011,5%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_FROL~1\LOCALS~1\Temp\bat\ENKI\&#1053;&#1077;&#1088;&#1091;&#1076;%20&#1084;&#1086;&#1080;%20&#1088;&#1072;&#1089;&#1095;&#1105;&#1090;&#1099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15E674E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03_&#1040;&#1082;&#1089;&#1091;&#1072;&#1090;&#1089;&#1082;&#1080;&#1081;%20&#1101;&#1083;&#1077;&#1074;&#1072;&#1090;&#1086;&#1088;+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65_&#1069;&#1083;&#1077;&#1074;&#1072;&#1090;&#1086;&#1088;&#1099;\_&#1056;&#1072;&#1089;&#1095;&#1077;&#1090;&#1099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6A75EE9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0;&#1091;&#1089;&#1084;&#1072;&#1085;&#1086;&#1074;%20&#1046;&#1077;&#1085;&#1080;&#1089;%20&#1050;&#1072;&#1081;&#1088;&#1073;&#1072;&#1077;&#1074;&#1080;&#1095;\&#1041;&#1055;%20&#1097;&#1077;&#1073;&#1077;&#1085;&#1100;%201.05%20&#1076;&#1083;&#1103;%20&#1041;&#1058;&#1040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51;&#1044;&#1050;%20&#1060;3+&#1060;2%20&#1073;&#1077;&#1079;%20&#1048;&#1060;&#1050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6;&#1072;&#1089;&#1095;&#1077;&#1090;%20&#1090;&#1077;&#1082;&#1089;&#1090;&#1080;&#1083;&#1100;_&#1089;%20&#1082;&#1086;&#1088;_01.05.1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test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I_FROL~1\LOCALS~1\Temp\bat\ENKI\&#1053;&#1077;&#1088;&#1091;&#1076;%20&#1084;&#1086;&#1080;%20&#1088;&#1072;&#1089;&#1095;&#1105;&#1090;&#1099;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15E674EE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6;&#1072;&#1089;&#1095;&#1077;&#1090;%20&#1072;&#1087;&#1090;&#1077;&#1082;&#1080;+&#1086;&#1087;&#1090;.&#1089;&#1082;&#1083;&#1072;&#1076;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G_SVEC~1\LOCALS~1\Temp\bat\6A75EE9B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51;&#1044;&#1050;%20&#1060;3+&#1060;2%20&#1073;&#1077;&#1079;%20&#1048;&#1060;&#1050;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tes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I_FROL~1\LOCALS~1\Temp\bat\ENKI\&#1053;&#1077;&#1088;&#1091;&#1076;%20&#1084;&#1086;&#1080;%20&#1088;&#1072;&#1089;&#1095;&#1105;&#1090;&#1099;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G_SVEC~1\LOCALS~1\Temp\bat\15E674E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kusmanov\&#1052;&#1086;&#1080;%20&#1076;&#1086;&#1082;&#1091;&#1084;&#1077;&#1085;&#1090;&#1099;\&#1048;&#1085;&#1092;&#1086;&#1088;&#1084;\&#1041;&#1087;%20breton\&#1041;&#1087;%20breton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41;%20&#1055;\&#1047;&#1072;&#1074;&#1086;&#1076;%20&#1084;&#1080;&#1085;&#1077;&#1088;&#1072;&#1083;&#1086;&#1074;&#1072;&#1090;&#1085;&#1099;&#1093;%20&#1080;&#1079;&#1076;&#1077;&#1083;&#1080;&#1081;\Proj_&#1057;&#1072;&#1088;&#1076;&#1072;&#1083;&#107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0;&#1050;&#1058;&#1048;&#1042;\Proj_&#1040;&#1050;&#1058;&#1048;&#1042;_7&#1083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МЗ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схД+"/>
      <sheetName val="КапЗатр+"/>
      <sheetName val="Вып1+"/>
      <sheetName val="Капит_1"/>
      <sheetName val="Вып2"/>
      <sheetName val="Капит_2"/>
      <sheetName val="Вып3"/>
      <sheetName val="Капит_3"/>
      <sheetName val="Вып4"/>
      <sheetName val="Капит_4"/>
      <sheetName val="СвВып+"/>
      <sheetName val="Аморт"/>
      <sheetName val="ВырРеал+"/>
      <sheetName val="Зерно"/>
      <sheetName val="Зерно_1"/>
      <sheetName val="Себест+"/>
      <sheetName val="ОбКап+"/>
      <sheetName val="Нетто3!!!"/>
      <sheetName val="отчприб1"/>
      <sheetName val="РостАкт+"/>
      <sheetName val="Приб+"/>
      <sheetName val="ПотокНал+"/>
      <sheetName val="потокден1"/>
      <sheetName val="ФинПок+"/>
      <sheetName val="Налоги"/>
      <sheetName val="СтоимПр1+"/>
      <sheetName val="СтоимПр2"/>
      <sheetName val="ЗЛК_осн"/>
      <sheetName val="ЗЛК_%"/>
      <sheetName val="ЗЛК_цена"/>
      <sheetName val="Не_удалять!!!"/>
      <sheetName val="Графики"/>
      <sheetName val="ПрогБал"/>
      <sheetName val="КоэфЧувств-ти"/>
      <sheetName val="РезЧувств"/>
      <sheetName val="Залог"/>
      <sheetName val="РискЗалога"/>
      <sheetName val="РезЗал"/>
      <sheetName val="Чувств1"/>
      <sheetName val="Чувств1-1"/>
      <sheetName val="Чувств1-2"/>
      <sheetName val="Чувств2"/>
      <sheetName val="Чувств2-1"/>
      <sheetName val="Чувств2-2"/>
      <sheetName val="Чувств3"/>
      <sheetName val="Чувтсв3-1"/>
      <sheetName val="Чувств3-2"/>
      <sheetName val="Чувств4"/>
      <sheetName val="Чувств4-1"/>
      <sheetName val="Чувств4-2"/>
      <sheetName val="Чувств5"/>
      <sheetName val="IRR"/>
    </sheetNames>
    <sheetDataSet>
      <sheetData sheetId="0">
        <row r="2">
          <cell r="A2" t="str">
            <v>Проект "Передача с/х техники на лизинговой основе зернопроизводителям Акмолинской, Костанайской и Северо-Казахстанской областей.</v>
          </cell>
        </row>
      </sheetData>
      <sheetData sheetId="17">
        <row r="2">
          <cell r="A2" t="str">
            <v>Наименование предприятия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сх докум"/>
      <sheetName val="Указатель"/>
      <sheetName val="Б1"/>
      <sheetName val="О1"/>
      <sheetName val="Б2"/>
      <sheetName val="О2"/>
      <sheetName val="Б3!!!"/>
      <sheetName val="О3!!!"/>
      <sheetName val="Исх.1"/>
      <sheetName val="Исх.2"/>
      <sheetName val="Исх.3!!!"/>
      <sheetName val="Нетто1"/>
      <sheetName val="Нетто2"/>
      <sheetName val="Нетто3!!!"/>
      <sheetName val="Гориз"/>
      <sheetName val="Верт!!!"/>
      <sheetName val="К-ф!!!"/>
      <sheetName val="Активы (размещ)!!!"/>
      <sheetName val="Уровень показателей!!!"/>
      <sheetName val="Фин. ресурсы!!!"/>
      <sheetName val="Наличие об ср-в!!!"/>
      <sheetName val="Кт!!!"/>
      <sheetName val="Дин. оборотн. ср-в!!!"/>
      <sheetName val="Дт"/>
      <sheetName val="Ликв баланса!!!"/>
      <sheetName val="Самофинанс!!!"/>
      <sheetName val="Рынок сырья"/>
      <sheetName val="Вид продукции"/>
      <sheetName val="Справка_НБ"/>
      <sheetName val="Анализ"/>
      <sheetName val="Показатели"/>
      <sheetName val="Модуль2"/>
      <sheetName val="Аванс кап"/>
      <sheetName val="Текст"/>
    </sheetNames>
    <sheetDataSet>
      <sheetData sheetId="3">
        <row r="6">
          <cell r="B6" t="str">
            <v>услуги по аренде машин оборудования без оператора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</sheetData>
      <sheetData sheetId="7">
        <row r="58">
          <cell r="C58">
            <v>0</v>
          </cell>
        </row>
      </sheetData>
      <sheetData sheetId="19">
        <row r="18">
          <cell r="E18" t="e">
            <v>#DIV/0!</v>
          </cell>
        </row>
      </sheetData>
      <sheetData sheetId="23">
        <row r="17">
          <cell r="B17">
            <v>0</v>
          </cell>
          <cell r="F17">
            <v>0</v>
          </cell>
        </row>
        <row r="18">
          <cell r="B18">
            <v>0</v>
          </cell>
          <cell r="F18">
            <v>26676.6</v>
          </cell>
        </row>
        <row r="19">
          <cell r="B19">
            <v>0</v>
          </cell>
          <cell r="F19">
            <v>8.2</v>
          </cell>
        </row>
        <row r="20">
          <cell r="B20">
            <v>0</v>
          </cell>
          <cell r="F20">
            <v>0</v>
          </cell>
        </row>
        <row r="25">
          <cell r="B25">
            <v>0</v>
          </cell>
          <cell r="F25">
            <v>296249.3</v>
          </cell>
        </row>
        <row r="26">
          <cell r="B26">
            <v>0</v>
          </cell>
          <cell r="F26">
            <v>1718930</v>
          </cell>
        </row>
        <row r="27">
          <cell r="B27">
            <v>0</v>
          </cell>
          <cell r="F27">
            <v>0</v>
          </cell>
        </row>
        <row r="28">
          <cell r="B28">
            <v>0</v>
          </cell>
          <cell r="F28">
            <v>0</v>
          </cell>
        </row>
        <row r="29">
          <cell r="B29">
            <v>0</v>
          </cell>
          <cell r="F29">
            <v>11298.7</v>
          </cell>
        </row>
        <row r="30">
          <cell r="B30">
            <v>0</v>
          </cell>
          <cell r="F30">
            <v>0</v>
          </cell>
        </row>
        <row r="31">
          <cell r="B31">
            <v>0</v>
          </cell>
          <cell r="F31">
            <v>12793.8</v>
          </cell>
        </row>
        <row r="33">
          <cell r="B33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2">
          <cell r="C2">
            <v>32.173913043478265</v>
          </cell>
        </row>
        <row r="4">
          <cell r="C4">
            <v>127</v>
          </cell>
        </row>
        <row r="6">
          <cell r="C6">
            <v>5000000</v>
          </cell>
        </row>
        <row r="7">
          <cell r="C7">
            <v>60000000</v>
          </cell>
        </row>
        <row r="8">
          <cell r="C8">
            <v>161</v>
          </cell>
        </row>
        <row r="13">
          <cell r="C13">
            <v>22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6 год"/>
      <sheetName val="График 2007 год"/>
      <sheetName val="Баланс прибылей"/>
      <sheetName val="cash-flow"/>
      <sheetName val="Форма №1"/>
      <sheetName val="Форма №2"/>
      <sheetName val="Врем.смета"/>
      <sheetName val="Форма №3"/>
      <sheetName val="Приобретение О.С."/>
      <sheetName val="Лист1"/>
      <sheetName val="Лизинг"/>
      <sheetName val="Кредит КБ"/>
      <sheetName val="Кредит СЗБ (А-Ф)"/>
      <sheetName val="Кредит доп"/>
      <sheetName val="Кредит доп2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45">
          <cell r="P45">
            <v>140</v>
          </cell>
        </row>
        <row r="47">
          <cell r="P47">
            <v>0.15</v>
          </cell>
        </row>
        <row r="48">
          <cell r="P48">
            <v>0.16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Финпоки1"/>
      <sheetName val="ф3 2"/>
      <sheetName val="ф2 3"/>
      <sheetName val="Площади 4"/>
      <sheetName val="Кап.затр 5"/>
      <sheetName val="Доходы 6"/>
      <sheetName val="кредит 7"/>
      <sheetName val="Аморт 8"/>
      <sheetName val="Пост.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П"/>
      <sheetName val="Ф3"/>
      <sheetName val="ф2"/>
      <sheetName val="кр"/>
      <sheetName val="График"/>
      <sheetName val="пост"/>
      <sheetName val="безубыт"/>
      <sheetName val="сметы работ"/>
      <sheetName val="исх"/>
      <sheetName val="штат"/>
      <sheetName val="дох"/>
      <sheetName val="расх матер"/>
      <sheetName val="амор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ер"/>
      <sheetName val="Пост"/>
      <sheetName val="Инв"/>
      <sheetName val="NPV"/>
      <sheetName val="График"/>
      <sheetName val="Пост."/>
    </sheetNames>
    <sheetDataSet>
      <sheetData sheetId="1">
        <row r="9">
          <cell r="C9">
            <v>0.13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"/>
      <sheetName val="Данные,рентаб"/>
      <sheetName val="Оценка"/>
      <sheetName val="Финпоказатели"/>
      <sheetName val="ЧП"/>
      <sheetName val="IRR NPV"/>
      <sheetName val="Ф3"/>
      <sheetName val="Ф2-баланс"/>
      <sheetName val="КРЕДИТЫ"/>
      <sheetName val="произ.моя"/>
      <sheetName val="обучение мое"/>
      <sheetName val="приобретение мое"/>
      <sheetName val="капит.мое"/>
      <sheetName val="коммун.мое"/>
      <sheetName val="себестоимость моя"/>
      <sheetName val="Лист2"/>
      <sheetName val="налоги"/>
      <sheetName val="ПриобрОС"/>
      <sheetName val="Затр. на про-во"/>
      <sheetName val="Пост.затр"/>
      <sheetName val="Пр-во сбыт"/>
      <sheetName val="Перем. затр"/>
      <sheetName val="штат"/>
      <sheetName val="Врем.смета"/>
    </sheetNames>
    <sheetDataSet>
      <sheetData sheetId="1">
        <row r="23">
          <cell r="C23">
            <v>121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RR"/>
      <sheetName val="Ф3"/>
      <sheetName val="Ф2"/>
      <sheetName val="ПриобрОС"/>
      <sheetName val="Фин. пок-ли"/>
      <sheetName val="Пр-во сбыт"/>
      <sheetName val="Врем.смета"/>
      <sheetName val="Перем. затр"/>
      <sheetName val="Пост.затр"/>
      <sheetName val="Затр. на про-во"/>
      <sheetName val="штат"/>
      <sheetName val="АФ1"/>
      <sheetName val="АФ"/>
      <sheetName val="БВУ"/>
      <sheetName val="Доп"/>
      <sheetName val="Ф1"/>
    </sheetNames>
    <sheetDataSet>
      <sheetData sheetId="5">
        <row r="17">
          <cell r="C17">
            <v>0.13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(2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дание"/>
      <sheetName val="NPV"/>
      <sheetName val="IRRa"/>
      <sheetName val="IRRb"/>
    </sheetNames>
    <sheetDataSet>
      <sheetData sheetId="1">
        <row r="18">
          <cell r="F18">
            <v>-1000000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  <row r="16">
          <cell r="C16">
            <v>25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4 год"/>
      <sheetName val="График 2005 год"/>
      <sheetName val="Баланс прибылей"/>
      <sheetName val="cash-flow"/>
      <sheetName val="Форма №1"/>
      <sheetName val="Форма №2"/>
      <sheetName val="Форма №3"/>
      <sheetName val="Врем.смета"/>
      <sheetName val="Приобретение О.С."/>
      <sheetName val="Лизинг"/>
      <sheetName val="Кредит БРК"/>
      <sheetName val="Кредит СЗБ (А-Ф)"/>
      <sheetName val="Кредит доп"/>
      <sheetName val="Кредит А-Ф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3">
          <cell r="K3">
            <v>126620</v>
          </cell>
        </row>
        <row r="45">
          <cell r="P45">
            <v>150</v>
          </cell>
        </row>
        <row r="46">
          <cell r="P46">
            <v>919</v>
          </cell>
        </row>
        <row r="47">
          <cell r="P47">
            <v>0.15</v>
          </cell>
        </row>
        <row r="48">
          <cell r="P48">
            <v>0.16</v>
          </cell>
        </row>
      </sheetData>
      <sheetData sheetId="17">
        <row r="3">
          <cell r="F3">
            <v>0.87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ост"/>
      <sheetName val="Инв"/>
      <sheetName val="безубыт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ф3"/>
      <sheetName val="ф2"/>
      <sheetName val="Баланс"/>
      <sheetName val="Исх"/>
      <sheetName val="Объемы"/>
      <sheetName val="Цены"/>
      <sheetName val="Перем"/>
      <sheetName val="Пост"/>
      <sheetName val="кр"/>
      <sheetName val="безубыт"/>
    </sheetNames>
    <sheetDataSet>
      <sheetData sheetId="2">
        <row r="32">
          <cell r="Q32">
            <v>109.48954266069855</v>
          </cell>
          <cell r="R32">
            <v>109.48954266069855</v>
          </cell>
          <cell r="S32">
            <v>108.45296951069854</v>
          </cell>
          <cell r="T32">
            <v>106.37982321069852</v>
          </cell>
          <cell r="U32">
            <v>103.27010376069849</v>
          </cell>
          <cell r="V32">
            <v>103.27010376069849</v>
          </cell>
          <cell r="W32">
            <v>103.27010376069849</v>
          </cell>
          <cell r="X32">
            <v>99.20125340855881</v>
          </cell>
          <cell r="Y32">
            <v>99.20125340855881</v>
          </cell>
          <cell r="Z32">
            <v>99.20125340855881</v>
          </cell>
          <cell r="AA32">
            <v>99.20125340855881</v>
          </cell>
          <cell r="AB32">
            <v>82.61608300855879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 Свод"/>
      <sheetName val="3Ф"/>
      <sheetName val="2Ф "/>
      <sheetName val="кр"/>
      <sheetName val="Гр стр"/>
      <sheetName val="Пост"/>
      <sheetName val="оборуд"/>
      <sheetName val="Перем."/>
      <sheetName val="IRR NPV"/>
      <sheetName val="Штат до ввода"/>
      <sheetName val="Штат пос ввода"/>
      <sheetName val="карьеры"/>
      <sheetName val="Налог(имущ)"/>
      <sheetName val="Осн.показ"/>
    </sheetNames>
    <sheetDataSet>
      <sheetData sheetId="13">
        <row r="5">
          <cell r="D5">
            <v>1052.6315789473686</v>
          </cell>
        </row>
        <row r="8">
          <cell r="D8">
            <v>907200</v>
          </cell>
        </row>
        <row r="9">
          <cell r="D9">
            <v>388800</v>
          </cell>
        </row>
        <row r="13">
          <cell r="D13">
            <v>164</v>
          </cell>
        </row>
        <row r="15">
          <cell r="D15">
            <v>1.14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Ф3"/>
      <sheetName val="ф2"/>
      <sheetName val="Баланс"/>
      <sheetName val="Доходы"/>
      <sheetName val="Себестоимость"/>
      <sheetName val="Расх пост"/>
      <sheetName val="кр"/>
      <sheetName val="Инв"/>
      <sheetName val="Безубыт"/>
      <sheetName val="Графики"/>
    </sheetNames>
    <sheetDataSet>
      <sheetData sheetId="1">
        <row r="5">
          <cell r="C5">
            <v>148</v>
          </cell>
        </row>
        <row r="8">
          <cell r="C8">
            <v>0.12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Дох"/>
      <sheetName val="Движение товара"/>
      <sheetName val="ф2"/>
      <sheetName val="Ф3"/>
      <sheetName val="Пост"/>
      <sheetName val="Пост склад"/>
      <sheetName val="кр"/>
      <sheetName val="Пост аптеки"/>
      <sheetName val="Инв скл"/>
      <sheetName val="Инв апт"/>
      <sheetName val="безубыт"/>
      <sheetName val="Лист1"/>
    </sheetNames>
    <sheetDataSet>
      <sheetData sheetId="1">
        <row r="5">
          <cell r="C5">
            <v>147</v>
          </cell>
        </row>
        <row r="7">
          <cell r="C7">
            <v>0.12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Коэфф"/>
      <sheetName val="Ф2"/>
      <sheetName val="Ф3"/>
      <sheetName val="Кредит"/>
      <sheetName val="Перемен"/>
      <sheetName val="Постоян"/>
      <sheetName val="Себст"/>
      <sheetName val="Безуб"/>
      <sheetName val="Смета"/>
      <sheetName val="Инвест"/>
      <sheetName val="Штат"/>
      <sheetName val="План пр-ва"/>
      <sheetName val="Продаж"/>
      <sheetName val="Налог"/>
    </sheetNames>
    <sheetDataSet>
      <sheetData sheetId="0">
        <row r="9">
          <cell r="C9">
            <v>165</v>
          </cell>
        </row>
        <row r="11">
          <cell r="C11">
            <v>1332.5</v>
          </cell>
        </row>
      </sheetData>
      <sheetData sheetId="12">
        <row r="6">
          <cell r="A6" t="str">
            <v>Мраморно-цементная плитка Bretonterastone®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_осв"/>
      <sheetName val="L-1"/>
      <sheetName val="L-2"/>
      <sheetName val="g-1"/>
      <sheetName val="Займы"/>
      <sheetName val="АО"/>
      <sheetName val="СС"/>
      <sheetName val="Стр_СС"/>
      <sheetName val="Н"/>
      <sheetName val="Дох"/>
      <sheetName val="Стр_Дох"/>
      <sheetName val="Приб"/>
      <sheetName val="Потоки"/>
      <sheetName val="NPV "/>
      <sheetName val="Анализ"/>
      <sheetName val="Чувств"/>
      <sheetName val="Коэфф"/>
      <sheetName val="Зал"/>
      <sheetName val="Графики"/>
    </sheetNames>
    <sheetDataSet>
      <sheetData sheetId="0">
        <row r="16">
          <cell r="B16">
            <v>0.9893263911487146</v>
          </cell>
        </row>
      </sheetData>
      <sheetData sheetId="2">
        <row r="5">
          <cell r="B5">
            <v>12450000</v>
          </cell>
        </row>
        <row r="6">
          <cell r="B6">
            <v>0.1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+осв"/>
      <sheetName val="L1"/>
      <sheetName val="L2"/>
      <sheetName val="L3"/>
      <sheetName val="Займы"/>
      <sheetName val="АО"/>
      <sheetName val="Дох"/>
      <sheetName val="СС"/>
      <sheetName val="Уд_вес_СС"/>
      <sheetName val="ОАО &quot;Актив&quot;"/>
      <sheetName val="Налоги"/>
      <sheetName val="Приб"/>
      <sheetName val="Потоки"/>
      <sheetName val="NPV"/>
      <sheetName val="Анализ"/>
      <sheetName val="Чувств"/>
      <sheetName val="Графики"/>
      <sheetName val="Коэфф"/>
      <sheetName val="Обор_кап"/>
      <sheetName val="Источн"/>
      <sheetName val="Залог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caspiy.6te.net/simple/index.php?page=q3-1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yvision.kz/post/312063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lideshare.net/slavalist/ss-7485572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Q147"/>
  <sheetViews>
    <sheetView showGridLines="0" showZeros="0" zoomScalePageLayoutView="0" workbookViewId="0" topLeftCell="A1">
      <pane xSplit="3" ySplit="6" topLeftCell="D10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P44" sqref="P44"/>
    </sheetView>
  </sheetViews>
  <sheetFormatPr defaultColWidth="8.625" defaultRowHeight="12.75" outlineLevelRow="1" outlineLevelCol="1"/>
  <cols>
    <col min="1" max="1" width="37.25390625" style="59" customWidth="1"/>
    <col min="2" max="2" width="10.125" style="60" customWidth="1"/>
    <col min="3" max="3" width="1.875" style="60" customWidth="1"/>
    <col min="4" max="6" width="7.75390625" style="6" hidden="1" customWidth="1" outlineLevel="1"/>
    <col min="7" max="7" width="8.125" style="56" hidden="1" customWidth="1" outlineLevel="1"/>
    <col min="8" max="8" width="8.125" style="6" hidden="1" customWidth="1" outlineLevel="1"/>
    <col min="9" max="12" width="7.75390625" style="6" hidden="1" customWidth="1" outlineLevel="1"/>
    <col min="13" max="13" width="7.875" style="6" hidden="1" customWidth="1" outlineLevel="1"/>
    <col min="14" max="14" width="7.25390625" style="6" hidden="1" customWidth="1" outlineLevel="1"/>
    <col min="15" max="15" width="7.625" style="6" hidden="1" customWidth="1" outlineLevel="1"/>
    <col min="16" max="16" width="8.25390625" style="7" customWidth="1" collapsed="1"/>
    <col min="17" max="28" width="7.625" style="6" hidden="1" customWidth="1" outlineLevel="1"/>
    <col min="29" max="29" width="8.75390625" style="7" customWidth="1" collapsed="1"/>
    <col min="30" max="30" width="8.625" style="7" customWidth="1"/>
    <col min="31" max="31" width="8.75390625" style="7" customWidth="1"/>
    <col min="32" max="32" width="8.625" style="7" customWidth="1"/>
    <col min="33" max="35" width="7.875" style="8" bestFit="1" customWidth="1"/>
    <col min="36" max="42" width="8.75390625" style="8" bestFit="1" customWidth="1"/>
    <col min="43" max="16384" width="8.625" style="8" customWidth="1"/>
  </cols>
  <sheetData>
    <row r="1" spans="1:27" ht="12.75">
      <c r="A1" s="61" t="s">
        <v>164</v>
      </c>
      <c r="B1" s="1"/>
      <c r="C1" s="1"/>
      <c r="D1" s="2"/>
      <c r="E1" s="2"/>
      <c r="F1" s="2"/>
      <c r="G1" s="3"/>
      <c r="H1" s="2"/>
      <c r="I1" s="4"/>
      <c r="J1" s="4"/>
      <c r="K1" s="4"/>
      <c r="L1" s="4"/>
      <c r="M1" s="4"/>
      <c r="N1" s="5"/>
      <c r="Q1" s="2"/>
      <c r="R1" s="2"/>
      <c r="S1" s="2"/>
      <c r="T1" s="2"/>
      <c r="U1" s="2"/>
      <c r="V1" s="4"/>
      <c r="W1" s="4"/>
      <c r="X1" s="4"/>
      <c r="Y1" s="4"/>
      <c r="Z1" s="4"/>
      <c r="AA1" s="5"/>
    </row>
    <row r="2" spans="1:27" ht="12.75" hidden="1" outlineLevel="1">
      <c r="A2" s="9">
        <f>MAX(K40:AF40)</f>
        <v>32956.61991926196</v>
      </c>
      <c r="B2" s="10">
        <f>MIN(I40:AH40)</f>
        <v>0</v>
      </c>
      <c r="C2" s="1"/>
      <c r="D2" s="2"/>
      <c r="E2" s="2"/>
      <c r="F2" s="2"/>
      <c r="G2" s="3"/>
      <c r="H2" s="2"/>
      <c r="I2" s="4"/>
      <c r="J2" s="4"/>
      <c r="K2" s="4"/>
      <c r="L2" s="4"/>
      <c r="M2" s="4"/>
      <c r="N2" s="5"/>
      <c r="Q2" s="2"/>
      <c r="R2" s="2"/>
      <c r="S2" s="2"/>
      <c r="T2" s="2"/>
      <c r="U2" s="2"/>
      <c r="V2" s="4"/>
      <c r="W2" s="4"/>
      <c r="X2" s="4"/>
      <c r="Y2" s="4"/>
      <c r="Z2" s="4"/>
      <c r="AA2" s="5"/>
    </row>
    <row r="3" spans="1:27" ht="12.75" collapsed="1">
      <c r="A3" s="9"/>
      <c r="B3" s="10"/>
      <c r="C3" s="1"/>
      <c r="D3" s="2"/>
      <c r="E3" s="2"/>
      <c r="F3" s="2"/>
      <c r="G3" s="3"/>
      <c r="H3" s="2"/>
      <c r="I3" s="4"/>
      <c r="J3" s="4"/>
      <c r="K3" s="4"/>
      <c r="L3" s="4"/>
      <c r="M3" s="4"/>
      <c r="N3" s="5"/>
      <c r="Q3" s="2"/>
      <c r="R3" s="2"/>
      <c r="S3" s="2"/>
      <c r="T3" s="2"/>
      <c r="U3" s="2"/>
      <c r="V3" s="4"/>
      <c r="W3" s="4"/>
      <c r="X3" s="4"/>
      <c r="Y3" s="4"/>
      <c r="Z3" s="4"/>
      <c r="AA3" s="5"/>
    </row>
    <row r="4" spans="1:27" ht="12.75">
      <c r="A4" s="11"/>
      <c r="B4" s="12" t="str">
        <f>Исх!$C$9</f>
        <v>тыс.тг.</v>
      </c>
      <c r="C4" s="1"/>
      <c r="D4" s="2"/>
      <c r="E4" s="2"/>
      <c r="F4" s="3"/>
      <c r="G4" s="3"/>
      <c r="I4" s="13"/>
      <c r="J4" s="2"/>
      <c r="K4" s="2"/>
      <c r="L4" s="14"/>
      <c r="M4" s="2"/>
      <c r="N4" s="2"/>
      <c r="Q4" s="2"/>
      <c r="R4" s="2"/>
      <c r="S4" s="3"/>
      <c r="T4" s="2"/>
      <c r="V4" s="13"/>
      <c r="W4" s="2"/>
      <c r="X4" s="2"/>
      <c r="Y4" s="14"/>
      <c r="Z4" s="2"/>
      <c r="AA4" s="2"/>
    </row>
    <row r="5" spans="1:35" ht="15.75" customHeight="1">
      <c r="A5" s="305" t="s">
        <v>2</v>
      </c>
      <c r="B5" s="307" t="s">
        <v>86</v>
      </c>
      <c r="C5" s="15"/>
      <c r="D5" s="307">
        <v>2014</v>
      </c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>
        <v>2015</v>
      </c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15">
        <f>Q5+1</f>
        <v>2016</v>
      </c>
      <c r="AE5" s="15">
        <f>AD5+1</f>
        <v>2017</v>
      </c>
      <c r="AF5" s="15">
        <f>AE5+1</f>
        <v>2018</v>
      </c>
      <c r="AG5" s="15">
        <f>AF5+1</f>
        <v>2019</v>
      </c>
      <c r="AH5" s="15">
        <f>AG5+1</f>
        <v>2020</v>
      </c>
      <c r="AI5" s="15">
        <f>AH5+1</f>
        <v>2021</v>
      </c>
    </row>
    <row r="6" spans="1:35" ht="12.75">
      <c r="A6" s="306"/>
      <c r="B6" s="307"/>
      <c r="C6" s="15"/>
      <c r="D6" s="16">
        <v>1</v>
      </c>
      <c r="E6" s="16">
        <f>D6+1</f>
        <v>2</v>
      </c>
      <c r="F6" s="16">
        <f aca="true" t="shared" si="0" ref="F6:O6">E6+1</f>
        <v>3</v>
      </c>
      <c r="G6" s="16">
        <f t="shared" si="0"/>
        <v>4</v>
      </c>
      <c r="H6" s="16">
        <f t="shared" si="0"/>
        <v>5</v>
      </c>
      <c r="I6" s="16">
        <f t="shared" si="0"/>
        <v>6</v>
      </c>
      <c r="J6" s="16">
        <f t="shared" si="0"/>
        <v>7</v>
      </c>
      <c r="K6" s="16">
        <f t="shared" si="0"/>
        <v>8</v>
      </c>
      <c r="L6" s="16">
        <f t="shared" si="0"/>
        <v>9</v>
      </c>
      <c r="M6" s="16">
        <f t="shared" si="0"/>
        <v>10</v>
      </c>
      <c r="N6" s="16">
        <f t="shared" si="0"/>
        <v>11</v>
      </c>
      <c r="O6" s="16">
        <f t="shared" si="0"/>
        <v>12</v>
      </c>
      <c r="P6" s="15" t="s">
        <v>0</v>
      </c>
      <c r="Q6" s="16">
        <v>1</v>
      </c>
      <c r="R6" s="16">
        <f>Q6+1</f>
        <v>2</v>
      </c>
      <c r="S6" s="16">
        <f aca="true" t="shared" si="1" ref="S6:AB6">R6+1</f>
        <v>3</v>
      </c>
      <c r="T6" s="16">
        <f t="shared" si="1"/>
        <v>4</v>
      </c>
      <c r="U6" s="16">
        <f t="shared" si="1"/>
        <v>5</v>
      </c>
      <c r="V6" s="16">
        <f t="shared" si="1"/>
        <v>6</v>
      </c>
      <c r="W6" s="16">
        <f t="shared" si="1"/>
        <v>7</v>
      </c>
      <c r="X6" s="16">
        <f t="shared" si="1"/>
        <v>8</v>
      </c>
      <c r="Y6" s="16">
        <f t="shared" si="1"/>
        <v>9</v>
      </c>
      <c r="Z6" s="16">
        <f t="shared" si="1"/>
        <v>10</v>
      </c>
      <c r="AA6" s="16">
        <f t="shared" si="1"/>
        <v>11</v>
      </c>
      <c r="AB6" s="16">
        <f t="shared" si="1"/>
        <v>12</v>
      </c>
      <c r="AC6" s="15" t="s">
        <v>0</v>
      </c>
      <c r="AD6" s="15" t="s">
        <v>113</v>
      </c>
      <c r="AE6" s="15" t="s">
        <v>113</v>
      </c>
      <c r="AF6" s="15" t="s">
        <v>113</v>
      </c>
      <c r="AG6" s="15" t="s">
        <v>113</v>
      </c>
      <c r="AH6" s="15" t="s">
        <v>113</v>
      </c>
      <c r="AI6" s="15" t="s">
        <v>113</v>
      </c>
    </row>
    <row r="7" spans="1:35" s="21" customFormat="1" ht="25.5">
      <c r="A7" s="17" t="s">
        <v>3</v>
      </c>
      <c r="B7" s="18">
        <f>P7</f>
        <v>0</v>
      </c>
      <c r="C7" s="19"/>
      <c r="D7" s="20">
        <f>C40</f>
        <v>0</v>
      </c>
      <c r="E7" s="20">
        <f aca="true" t="shared" si="2" ref="E7:K7">D40</f>
        <v>0</v>
      </c>
      <c r="F7" s="20">
        <f t="shared" si="2"/>
        <v>0</v>
      </c>
      <c r="G7" s="20">
        <f t="shared" si="2"/>
        <v>0</v>
      </c>
      <c r="H7" s="20">
        <f t="shared" si="2"/>
        <v>0</v>
      </c>
      <c r="I7" s="20">
        <f t="shared" si="2"/>
        <v>0</v>
      </c>
      <c r="J7" s="20">
        <f t="shared" si="2"/>
        <v>0</v>
      </c>
      <c r="K7" s="20">
        <f t="shared" si="2"/>
        <v>0</v>
      </c>
      <c r="L7" s="20">
        <f>K40</f>
        <v>0</v>
      </c>
      <c r="M7" s="20">
        <f>L40</f>
        <v>0</v>
      </c>
      <c r="N7" s="20">
        <f>M40</f>
        <v>0</v>
      </c>
      <c r="O7" s="20">
        <f>N40</f>
        <v>4132.199176222222</v>
      </c>
      <c r="P7" s="20">
        <f>D7</f>
        <v>0</v>
      </c>
      <c r="Q7" s="20">
        <f>P40</f>
        <v>9467.963792444445</v>
      </c>
      <c r="R7" s="20">
        <f aca="true" t="shared" si="3" ref="R7:AA7">Q40</f>
        <v>14174.111419424027</v>
      </c>
      <c r="S7" s="20">
        <f t="shared" si="3"/>
        <v>18885.42846508712</v>
      </c>
      <c r="T7" s="20">
        <f t="shared" si="3"/>
        <v>19236.341563433718</v>
      </c>
      <c r="U7" s="20">
        <f t="shared" si="3"/>
        <v>19592.424080463825</v>
      </c>
      <c r="V7" s="20">
        <f t="shared" si="3"/>
        <v>19699.87169617744</v>
      </c>
      <c r="W7" s="20">
        <f t="shared" si="3"/>
        <v>19812.488730574565</v>
      </c>
      <c r="X7" s="20">
        <f t="shared" si="3"/>
        <v>19930.275183655198</v>
      </c>
      <c r="Y7" s="20">
        <f t="shared" si="3"/>
        <v>14322.13029541934</v>
      </c>
      <c r="Z7" s="20">
        <f t="shared" si="3"/>
        <v>8719.15482586699</v>
      </c>
      <c r="AA7" s="20">
        <f t="shared" si="3"/>
        <v>4588.2911749981495</v>
      </c>
      <c r="AB7" s="20">
        <f>AA40</f>
        <v>7513.800332812818</v>
      </c>
      <c r="AC7" s="20">
        <f>Q7</f>
        <v>9467.963792444445</v>
      </c>
      <c r="AD7" s="20">
        <f aca="true" t="shared" si="4" ref="AD7:AI7">AC40</f>
        <v>11648.044349310994</v>
      </c>
      <c r="AE7" s="20">
        <f t="shared" si="4"/>
        <v>18006.50658220276</v>
      </c>
      <c r="AF7" s="20">
        <f t="shared" si="4"/>
        <v>25109.365105519748</v>
      </c>
      <c r="AG7" s="20">
        <f t="shared" si="4"/>
        <v>32956.61991926196</v>
      </c>
      <c r="AH7" s="20">
        <f t="shared" si="4"/>
        <v>41548.2710234294</v>
      </c>
      <c r="AI7" s="20">
        <f t="shared" si="4"/>
        <v>50884.318418022056</v>
      </c>
    </row>
    <row r="8" spans="1:35" s="21" customFormat="1" ht="12.75">
      <c r="A8" s="22" t="s">
        <v>9</v>
      </c>
      <c r="B8" s="23"/>
      <c r="C8" s="23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</row>
    <row r="9" spans="1:35" s="21" customFormat="1" ht="12.75">
      <c r="A9" s="26" t="s">
        <v>16</v>
      </c>
      <c r="B9" s="27">
        <f>SUM(B10:B10)</f>
        <v>419191.50171359995</v>
      </c>
      <c r="C9" s="27"/>
      <c r="D9" s="27">
        <f aca="true" t="shared" si="5" ref="D9:AI9">SUM(D10:D10)</f>
        <v>0</v>
      </c>
      <c r="E9" s="27">
        <f t="shared" si="5"/>
        <v>0</v>
      </c>
      <c r="F9" s="27">
        <f t="shared" si="5"/>
        <v>0</v>
      </c>
      <c r="G9" s="27">
        <f t="shared" si="5"/>
        <v>0</v>
      </c>
      <c r="H9" s="27">
        <f t="shared" si="5"/>
        <v>0</v>
      </c>
      <c r="I9" s="27">
        <f t="shared" si="5"/>
        <v>0</v>
      </c>
      <c r="J9" s="27">
        <f t="shared" si="5"/>
        <v>0</v>
      </c>
      <c r="K9" s="27">
        <f t="shared" si="5"/>
        <v>0</v>
      </c>
      <c r="L9" s="27">
        <f t="shared" si="5"/>
        <v>0</v>
      </c>
      <c r="M9" s="27">
        <f t="shared" si="5"/>
        <v>0</v>
      </c>
      <c r="N9" s="27">
        <f t="shared" si="5"/>
        <v>6132.11676</v>
      </c>
      <c r="O9" s="27">
        <f t="shared" si="5"/>
        <v>6132.11676</v>
      </c>
      <c r="P9" s="27">
        <f t="shared" si="5"/>
        <v>12264.23352</v>
      </c>
      <c r="Q9" s="27">
        <f t="shared" si="5"/>
        <v>6132.11676</v>
      </c>
      <c r="R9" s="27">
        <f t="shared" si="5"/>
        <v>6132.11676</v>
      </c>
      <c r="S9" s="27">
        <f t="shared" si="5"/>
        <v>6132.11676</v>
      </c>
      <c r="T9" s="27">
        <f t="shared" si="5"/>
        <v>6132.11676</v>
      </c>
      <c r="U9" s="27">
        <f t="shared" si="5"/>
        <v>6132.11676</v>
      </c>
      <c r="V9" s="27">
        <f t="shared" si="5"/>
        <v>6132.11676</v>
      </c>
      <c r="W9" s="27">
        <f t="shared" si="5"/>
        <v>6132.11676</v>
      </c>
      <c r="X9" s="27">
        <f t="shared" si="5"/>
        <v>0</v>
      </c>
      <c r="Y9" s="27">
        <f t="shared" si="5"/>
        <v>0</v>
      </c>
      <c r="Z9" s="27">
        <f t="shared" si="5"/>
        <v>0</v>
      </c>
      <c r="AA9" s="27">
        <f t="shared" si="5"/>
        <v>6132.11676</v>
      </c>
      <c r="AB9" s="27">
        <f t="shared" si="5"/>
        <v>6132.11676</v>
      </c>
      <c r="AC9" s="27">
        <f t="shared" si="5"/>
        <v>55189.05083999999</v>
      </c>
      <c r="AD9" s="27">
        <f t="shared" si="5"/>
        <v>58623.03622559999</v>
      </c>
      <c r="AE9" s="27">
        <f t="shared" si="5"/>
        <v>58623.03622559999</v>
      </c>
      <c r="AF9" s="27">
        <f t="shared" si="5"/>
        <v>58623.03622559999</v>
      </c>
      <c r="AG9" s="27">
        <f t="shared" si="5"/>
        <v>58623.03622559999</v>
      </c>
      <c r="AH9" s="27">
        <f t="shared" si="5"/>
        <v>58623.03622559999</v>
      </c>
      <c r="AI9" s="27">
        <f t="shared" si="5"/>
        <v>58623.03622559999</v>
      </c>
    </row>
    <row r="10" spans="1:35" ht="12.75">
      <c r="A10" s="28" t="str">
        <f>'2-ф2'!A6</f>
        <v>Хлопок</v>
      </c>
      <c r="B10" s="27">
        <f aca="true" t="shared" si="6" ref="B10:B22">P10+AC10+AD10+AE10+AF10+AG10+AH10+AI10</f>
        <v>419191.50171359995</v>
      </c>
      <c r="C10" s="27"/>
      <c r="D10" s="29">
        <f>'2-ф2'!D6*Исх!$C$20</f>
        <v>0</v>
      </c>
      <c r="E10" s="29">
        <f>'2-ф2'!E6*Исх!$C$20</f>
        <v>0</v>
      </c>
      <c r="F10" s="29">
        <f>'2-ф2'!F6*Исх!$C$20</f>
        <v>0</v>
      </c>
      <c r="G10" s="29">
        <f>'2-ф2'!G6*Исх!$C$20</f>
        <v>0</v>
      </c>
      <c r="H10" s="29">
        <f>'2-ф2'!H6*Исх!$C$20</f>
        <v>0</v>
      </c>
      <c r="I10" s="29">
        <f>'2-ф2'!I6*Исх!$C$20</f>
        <v>0</v>
      </c>
      <c r="J10" s="29">
        <f>'2-ф2'!J6*Исх!$C$20</f>
        <v>0</v>
      </c>
      <c r="K10" s="29">
        <f>'2-ф2'!K6*Исх!$C$20</f>
        <v>0</v>
      </c>
      <c r="L10" s="29">
        <f>'2-ф2'!L6*Исх!$C$20</f>
        <v>0</v>
      </c>
      <c r="M10" s="29">
        <f>'2-ф2'!M6*Исх!$C$20</f>
        <v>0</v>
      </c>
      <c r="N10" s="29">
        <f>'2-ф2'!N6*Исх!$C$20</f>
        <v>6132.11676</v>
      </c>
      <c r="O10" s="29">
        <f>'2-ф2'!O6*Исх!$C$20</f>
        <v>6132.11676</v>
      </c>
      <c r="P10" s="27">
        <f>SUM(D10:O10)</f>
        <v>12264.23352</v>
      </c>
      <c r="Q10" s="29">
        <f>'2-ф2'!Q6*Исх!$C$20</f>
        <v>6132.11676</v>
      </c>
      <c r="R10" s="29">
        <f>'2-ф2'!R6*Исх!$C$20</f>
        <v>6132.11676</v>
      </c>
      <c r="S10" s="29">
        <f>'2-ф2'!S6*Исх!$C$20</f>
        <v>6132.11676</v>
      </c>
      <c r="T10" s="29">
        <f>'2-ф2'!T6*Исх!$C$20</f>
        <v>6132.11676</v>
      </c>
      <c r="U10" s="29">
        <f>'2-ф2'!U6*Исх!$C$20</f>
        <v>6132.11676</v>
      </c>
      <c r="V10" s="29">
        <f>'2-ф2'!V6*Исх!$C$20</f>
        <v>6132.11676</v>
      </c>
      <c r="W10" s="29">
        <f>'2-ф2'!W6*Исх!$C$20</f>
        <v>6132.11676</v>
      </c>
      <c r="X10" s="29">
        <f>'2-ф2'!X6*Исх!$C$20</f>
        <v>0</v>
      </c>
      <c r="Y10" s="29">
        <f>'2-ф2'!Y6*Исх!$C$20</f>
        <v>0</v>
      </c>
      <c r="Z10" s="29">
        <f>'2-ф2'!Z6*Исх!$C$20</f>
        <v>0</v>
      </c>
      <c r="AA10" s="29">
        <f>'2-ф2'!AA6*Исх!$C$20</f>
        <v>6132.11676</v>
      </c>
      <c r="AB10" s="29">
        <f>'2-ф2'!AB6*Исх!$C$20</f>
        <v>6132.11676</v>
      </c>
      <c r="AC10" s="27">
        <f>SUM(Q10:AB10)</f>
        <v>55189.05083999999</v>
      </c>
      <c r="AD10" s="29">
        <f>'2-ф2'!AD6*Исх!$C$20</f>
        <v>58623.03622559999</v>
      </c>
      <c r="AE10" s="29">
        <f>'2-ф2'!AE6*Исх!$C$20</f>
        <v>58623.03622559999</v>
      </c>
      <c r="AF10" s="29">
        <f>'2-ф2'!AF6*Исх!$C$20</f>
        <v>58623.03622559999</v>
      </c>
      <c r="AG10" s="29">
        <f>'2-ф2'!AG6*Исх!$C$20</f>
        <v>58623.03622559999</v>
      </c>
      <c r="AH10" s="29">
        <f>'2-ф2'!AH6*Исх!$C$20</f>
        <v>58623.03622559999</v>
      </c>
      <c r="AI10" s="29">
        <f>'2-ф2'!AI6*Исх!$C$20</f>
        <v>58623.03622559999</v>
      </c>
    </row>
    <row r="11" spans="1:35" s="21" customFormat="1" ht="12.75">
      <c r="A11" s="30" t="s">
        <v>4</v>
      </c>
      <c r="B11" s="27">
        <f>SUM(B12:B22)</f>
        <v>319246.39407137147</v>
      </c>
      <c r="C11" s="27"/>
      <c r="D11" s="31">
        <f aca="true" t="shared" si="7" ref="D11:AI11">SUM(D12:D22)</f>
        <v>0</v>
      </c>
      <c r="E11" s="31">
        <f t="shared" si="7"/>
        <v>0</v>
      </c>
      <c r="F11" s="31">
        <f t="shared" si="7"/>
        <v>4533.1582937777775</v>
      </c>
      <c r="G11" s="31">
        <f t="shared" si="7"/>
        <v>4533.1582937777775</v>
      </c>
      <c r="H11" s="31">
        <f t="shared" si="7"/>
        <v>4786.962613777778</v>
      </c>
      <c r="I11" s="31">
        <f t="shared" si="7"/>
        <v>4786.962613777778</v>
      </c>
      <c r="J11" s="31">
        <f t="shared" si="7"/>
        <v>4786.962613777778</v>
      </c>
      <c r="K11" s="31">
        <f t="shared" si="7"/>
        <v>4385.946613777778</v>
      </c>
      <c r="L11" s="31">
        <f t="shared" si="7"/>
        <v>4385.946613777778</v>
      </c>
      <c r="M11" s="31">
        <f t="shared" si="7"/>
        <v>2919.0042137777773</v>
      </c>
      <c r="N11" s="31">
        <f t="shared" si="7"/>
        <v>1999.917583777778</v>
      </c>
      <c r="O11" s="31">
        <f t="shared" si="7"/>
        <v>796.3521437777777</v>
      </c>
      <c r="P11" s="31">
        <f t="shared" si="7"/>
        <v>37914.37159777778</v>
      </c>
      <c r="Q11" s="31">
        <f t="shared" si="7"/>
        <v>539.7830729903894</v>
      </c>
      <c r="R11" s="31">
        <f t="shared" si="7"/>
        <v>534.6136543068809</v>
      </c>
      <c r="S11" s="31">
        <f t="shared" si="7"/>
        <v>4895.017601623373</v>
      </c>
      <c r="T11" s="31">
        <f t="shared" si="7"/>
        <v>4889.848182939863</v>
      </c>
      <c r="U11" s="31">
        <f t="shared" si="7"/>
        <v>5138.483084256355</v>
      </c>
      <c r="V11" s="31">
        <f t="shared" si="7"/>
        <v>5133.313665572847</v>
      </c>
      <c r="W11" s="31">
        <f t="shared" si="7"/>
        <v>5128.144246889338</v>
      </c>
      <c r="X11" s="31">
        <f t="shared" si="7"/>
        <v>4721.95882820583</v>
      </c>
      <c r="Y11" s="31">
        <f t="shared" si="7"/>
        <v>4716.789409522322</v>
      </c>
      <c r="Z11" s="31">
        <f t="shared" si="7"/>
        <v>3244.6775908388126</v>
      </c>
      <c r="AA11" s="31">
        <f t="shared" si="7"/>
        <v>2320.4215421553045</v>
      </c>
      <c r="AB11" s="31">
        <f t="shared" si="7"/>
        <v>1111.6866834717957</v>
      </c>
      <c r="AC11" s="31">
        <f t="shared" si="7"/>
        <v>42374.737562773116</v>
      </c>
      <c r="AD11" s="31">
        <f t="shared" si="7"/>
        <v>41630.34127234789</v>
      </c>
      <c r="AE11" s="31">
        <f t="shared" si="7"/>
        <v>40885.94498192267</v>
      </c>
      <c r="AF11" s="31">
        <f t="shared" si="7"/>
        <v>40141.548691497446</v>
      </c>
      <c r="AG11" s="31">
        <f t="shared" si="7"/>
        <v>39397.15240107222</v>
      </c>
      <c r="AH11" s="31">
        <f t="shared" si="7"/>
        <v>38652.756110647</v>
      </c>
      <c r="AI11" s="31">
        <f t="shared" si="7"/>
        <v>38249.54145333334</v>
      </c>
    </row>
    <row r="12" spans="1:35" ht="12.75">
      <c r="A12" s="28" t="str">
        <f>'2-ф2'!A8</f>
        <v>Заработная плата</v>
      </c>
      <c r="B12" s="27">
        <f aca="true" t="shared" si="8" ref="B12:B17">P12+AC12+AD12+AE12+AF12+AG12+AH12+AI12</f>
        <v>69820.24896</v>
      </c>
      <c r="C12" s="32"/>
      <c r="D12" s="29">
        <f>'Расх перем'!B26</f>
        <v>0</v>
      </c>
      <c r="E12" s="29">
        <f>'Расх перем'!C26</f>
        <v>0</v>
      </c>
      <c r="F12" s="29">
        <f>'Расх перем'!D26</f>
        <v>1090.94139</v>
      </c>
      <c r="G12" s="29">
        <f>'Расх перем'!E26</f>
        <v>1090.94139</v>
      </c>
      <c r="H12" s="29">
        <f>'Расх перем'!F26</f>
        <v>1090.94139</v>
      </c>
      <c r="I12" s="29">
        <f>'Расх перем'!G26</f>
        <v>1090.94139</v>
      </c>
      <c r="J12" s="29">
        <f>'Расх перем'!H26</f>
        <v>1090.94139</v>
      </c>
      <c r="K12" s="29">
        <f>'Расх перем'!I26</f>
        <v>1090.94139</v>
      </c>
      <c r="L12" s="29">
        <f>'Расх перем'!J26</f>
        <v>1090.94139</v>
      </c>
      <c r="M12" s="29">
        <f>'Расх перем'!K26</f>
        <v>1090.94139</v>
      </c>
      <c r="N12" s="29">
        <f>'Расх перем'!L26</f>
        <v>0</v>
      </c>
      <c r="O12" s="29">
        <f>'Расх перем'!M26</f>
        <v>0</v>
      </c>
      <c r="P12" s="27">
        <f aca="true" t="shared" si="9" ref="P12:P22">SUM(D12:O12)</f>
        <v>8727.53112</v>
      </c>
      <c r="Q12" s="29">
        <f>'Расх перем'!B26</f>
        <v>0</v>
      </c>
      <c r="R12" s="29">
        <f>'Расх перем'!C26</f>
        <v>0</v>
      </c>
      <c r="S12" s="29">
        <f>'Расх перем'!D26</f>
        <v>1090.94139</v>
      </c>
      <c r="T12" s="29">
        <f>'Расх перем'!E26</f>
        <v>1090.94139</v>
      </c>
      <c r="U12" s="29">
        <f>'Расх перем'!F26</f>
        <v>1090.94139</v>
      </c>
      <c r="V12" s="29">
        <f>'Расх перем'!G26</f>
        <v>1090.94139</v>
      </c>
      <c r="W12" s="29">
        <f>'Расх перем'!H26</f>
        <v>1090.94139</v>
      </c>
      <c r="X12" s="29">
        <f>'Расх перем'!I26</f>
        <v>1090.94139</v>
      </c>
      <c r="Y12" s="29">
        <f>'Расх перем'!J26</f>
        <v>1090.94139</v>
      </c>
      <c r="Z12" s="29">
        <f>'Расх перем'!K26</f>
        <v>1090.94139</v>
      </c>
      <c r="AA12" s="29">
        <f>'Расх перем'!L26</f>
        <v>0</v>
      </c>
      <c r="AB12" s="29">
        <f>'Расх перем'!M26</f>
        <v>0</v>
      </c>
      <c r="AC12" s="27">
        <f aca="true" t="shared" si="10" ref="AC12:AC22">SUM(Q12:AB12)</f>
        <v>8727.53112</v>
      </c>
      <c r="AD12" s="29">
        <f>'Расх перем'!$N$26</f>
        <v>8727.53112</v>
      </c>
      <c r="AE12" s="29">
        <f>'Расх перем'!$N$26</f>
        <v>8727.53112</v>
      </c>
      <c r="AF12" s="29">
        <f>'Расх перем'!$N$26</f>
        <v>8727.53112</v>
      </c>
      <c r="AG12" s="29">
        <f>'Расх перем'!$N$26</f>
        <v>8727.53112</v>
      </c>
      <c r="AH12" s="29">
        <f>'Расх перем'!$N$26</f>
        <v>8727.53112</v>
      </c>
      <c r="AI12" s="29">
        <f>'Расх перем'!$N$26</f>
        <v>8727.53112</v>
      </c>
    </row>
    <row r="13" spans="1:35" ht="12.75">
      <c r="A13" s="28" t="str">
        <f>'2-ф2'!A9</f>
        <v>ГСМ</v>
      </c>
      <c r="B13" s="27">
        <f t="shared" si="8"/>
        <v>51990.30144</v>
      </c>
      <c r="C13" s="32"/>
      <c r="D13" s="29">
        <f>'Расх перем'!B27</f>
        <v>0</v>
      </c>
      <c r="E13" s="29">
        <f>'Расх перем'!C27</f>
        <v>0</v>
      </c>
      <c r="F13" s="29">
        <f>'Расх перем'!D27</f>
        <v>812.3484599999999</v>
      </c>
      <c r="G13" s="29">
        <f>'Расх перем'!E27</f>
        <v>812.3484599999999</v>
      </c>
      <c r="H13" s="29">
        <f>'Расх перем'!F27</f>
        <v>812.3484599999999</v>
      </c>
      <c r="I13" s="29">
        <f>'Расх перем'!G27</f>
        <v>812.3484599999999</v>
      </c>
      <c r="J13" s="29">
        <f>'Расх перем'!H27</f>
        <v>812.3484599999999</v>
      </c>
      <c r="K13" s="29">
        <f>'Расх перем'!I27</f>
        <v>812.3484599999999</v>
      </c>
      <c r="L13" s="29">
        <f>'Расх перем'!J27</f>
        <v>812.3484599999999</v>
      </c>
      <c r="M13" s="29">
        <f>'Расх перем'!K27</f>
        <v>812.3484599999999</v>
      </c>
      <c r="N13" s="29">
        <f>'Расх перем'!L27</f>
        <v>0</v>
      </c>
      <c r="O13" s="29">
        <f>'Расх перем'!M27</f>
        <v>0</v>
      </c>
      <c r="P13" s="27">
        <f t="shared" si="9"/>
        <v>6498.78768</v>
      </c>
      <c r="Q13" s="29">
        <f>'Расх перем'!B27</f>
        <v>0</v>
      </c>
      <c r="R13" s="29">
        <f>'Расх перем'!C27</f>
        <v>0</v>
      </c>
      <c r="S13" s="29">
        <f>'Расх перем'!D27</f>
        <v>812.3484599999999</v>
      </c>
      <c r="T13" s="29">
        <f>'Расх перем'!E27</f>
        <v>812.3484599999999</v>
      </c>
      <c r="U13" s="29">
        <f>'Расх перем'!F27</f>
        <v>812.3484599999999</v>
      </c>
      <c r="V13" s="29">
        <f>'Расх перем'!G27</f>
        <v>812.3484599999999</v>
      </c>
      <c r="W13" s="29">
        <f>'Расх перем'!H27</f>
        <v>812.3484599999999</v>
      </c>
      <c r="X13" s="29">
        <f>'Расх перем'!I27</f>
        <v>812.3484599999999</v>
      </c>
      <c r="Y13" s="29">
        <f>'Расх перем'!J27</f>
        <v>812.3484599999999</v>
      </c>
      <c r="Z13" s="29">
        <f>'Расх перем'!K27</f>
        <v>812.3484599999999</v>
      </c>
      <c r="AA13" s="29">
        <f>'Расх перем'!L27</f>
        <v>0</v>
      </c>
      <c r="AB13" s="29">
        <f>'Расх перем'!M27</f>
        <v>0</v>
      </c>
      <c r="AC13" s="27">
        <f t="shared" si="10"/>
        <v>6498.78768</v>
      </c>
      <c r="AD13" s="29">
        <f>'Расх перем'!$N$27</f>
        <v>6498.78768</v>
      </c>
      <c r="AE13" s="29">
        <f>'Расх перем'!$N$27</f>
        <v>6498.78768</v>
      </c>
      <c r="AF13" s="29">
        <f>'Расх перем'!$N$27</f>
        <v>6498.78768</v>
      </c>
      <c r="AG13" s="29">
        <f>'Расх перем'!$N$27</f>
        <v>6498.78768</v>
      </c>
      <c r="AH13" s="29">
        <f>'Расх перем'!$N$27</f>
        <v>6498.78768</v>
      </c>
      <c r="AI13" s="29">
        <f>'Расх перем'!$N$27</f>
        <v>6498.78768</v>
      </c>
    </row>
    <row r="14" spans="1:35" ht="12.75">
      <c r="A14" s="28" t="str">
        <f>'2-ф2'!A10</f>
        <v>Удобрения, гербициды, ядохимикаты</v>
      </c>
      <c r="B14" s="27">
        <f t="shared" si="8"/>
        <v>38509.95455999999</v>
      </c>
      <c r="C14" s="32"/>
      <c r="D14" s="29">
        <f>'Расх перем'!B28+'Расх перем'!B29</f>
        <v>0</v>
      </c>
      <c r="E14" s="29">
        <f>'Расх перем'!C28+'Расх перем'!C29</f>
        <v>0</v>
      </c>
      <c r="F14" s="29">
        <f>'Расх перем'!D28+'Расх перем'!D29</f>
        <v>1203.56544</v>
      </c>
      <c r="G14" s="29">
        <f>'Расх перем'!E28+'Расх перем'!E29</f>
        <v>1203.56544</v>
      </c>
      <c r="H14" s="29">
        <f>'Расх перем'!F28+'Расх перем'!F29</f>
        <v>401.016</v>
      </c>
      <c r="I14" s="29">
        <f>'Расх перем'!G28+'Расх перем'!G29</f>
        <v>401.016</v>
      </c>
      <c r="J14" s="29">
        <f>'Расх перем'!H28+'Расх перем'!H29</f>
        <v>401.016</v>
      </c>
      <c r="K14" s="29">
        <f>'Расх перем'!I28+'Расх перем'!I29</f>
        <v>0</v>
      </c>
      <c r="L14" s="29">
        <f>'Расх перем'!J28+'Расх перем'!J29</f>
        <v>0</v>
      </c>
      <c r="M14" s="29">
        <f>'Расх перем'!K28+'Расх перем'!K29</f>
        <v>0</v>
      </c>
      <c r="N14" s="29">
        <f>'Расх перем'!L28+'Расх перем'!L29</f>
        <v>1203.56544</v>
      </c>
      <c r="O14" s="29">
        <f>'Расх перем'!M28+'Расх перем'!M29</f>
        <v>0</v>
      </c>
      <c r="P14" s="27">
        <f t="shared" si="9"/>
        <v>4813.744320000001</v>
      </c>
      <c r="Q14" s="29">
        <f>'Расх перем'!B28+'Расх перем'!B29</f>
        <v>0</v>
      </c>
      <c r="R14" s="29">
        <f>'Расх перем'!C28+'Расх перем'!C29</f>
        <v>0</v>
      </c>
      <c r="S14" s="29">
        <f>'Расх перем'!D28+'Расх перем'!D29</f>
        <v>1203.56544</v>
      </c>
      <c r="T14" s="29">
        <f>'Расх перем'!E28+'Расх перем'!E29</f>
        <v>1203.56544</v>
      </c>
      <c r="U14" s="29">
        <f>'Расх перем'!F28+'Расх перем'!F29</f>
        <v>401.016</v>
      </c>
      <c r="V14" s="29">
        <f>'Расх перем'!G28+'Расх перем'!G29</f>
        <v>401.016</v>
      </c>
      <c r="W14" s="29">
        <f>'Расх перем'!H28+'Расх перем'!H29</f>
        <v>401.016</v>
      </c>
      <c r="X14" s="29">
        <f>'Расх перем'!I28+'Расх перем'!I29</f>
        <v>0</v>
      </c>
      <c r="Y14" s="29">
        <f>'Расх перем'!J28+'Расх перем'!J29</f>
        <v>0</v>
      </c>
      <c r="Z14" s="29">
        <f>'Расх перем'!K28+'Расх перем'!K29</f>
        <v>0</v>
      </c>
      <c r="AA14" s="29">
        <f>'Расх перем'!L28+'Расх перем'!L29</f>
        <v>1203.56544</v>
      </c>
      <c r="AB14" s="29">
        <f>'Расх перем'!M28+'Расх перем'!M29</f>
        <v>0</v>
      </c>
      <c r="AC14" s="27">
        <f t="shared" si="10"/>
        <v>4813.744320000001</v>
      </c>
      <c r="AD14" s="29">
        <f>'Расх перем'!$N$28+'Расх перем'!$N$29</f>
        <v>4813.74432</v>
      </c>
      <c r="AE14" s="29">
        <f>'Расх перем'!$N$28+'Расх перем'!$N$29</f>
        <v>4813.74432</v>
      </c>
      <c r="AF14" s="29">
        <f>'Расх перем'!$N$28+'Расх перем'!$N$29</f>
        <v>4813.74432</v>
      </c>
      <c r="AG14" s="29">
        <f>'Расх перем'!$N$28+'Расх перем'!$N$29</f>
        <v>4813.74432</v>
      </c>
      <c r="AH14" s="29">
        <f>'Расх перем'!$N$28+'Расх перем'!$N$29</f>
        <v>4813.74432</v>
      </c>
      <c r="AI14" s="29">
        <f>'Расх перем'!$N$28+'Расх перем'!$N$29</f>
        <v>4813.74432</v>
      </c>
    </row>
    <row r="15" spans="1:35" ht="12.75">
      <c r="A15" s="28" t="str">
        <f>'2-ф2'!A11</f>
        <v>Услуги, ремонт</v>
      </c>
      <c r="B15" s="27">
        <f t="shared" si="8"/>
        <v>30363.379199999996</v>
      </c>
      <c r="C15" s="32"/>
      <c r="D15" s="29">
        <f>'Расх перем'!B30+'Расх перем'!B31</f>
        <v>0</v>
      </c>
      <c r="E15" s="29">
        <f>'Расх перем'!C30+'Расх перем'!C31</f>
        <v>0</v>
      </c>
      <c r="F15" s="29">
        <f>'Расх перем'!D30+'Расх перем'!D31</f>
        <v>423.41468399999997</v>
      </c>
      <c r="G15" s="29">
        <f>'Расх перем'!E30+'Расх перем'!E31</f>
        <v>423.41468399999997</v>
      </c>
      <c r="H15" s="29">
        <f>'Расх перем'!F30+'Расх перем'!F31</f>
        <v>423.41468399999997</v>
      </c>
      <c r="I15" s="29">
        <f>'Расх перем'!G30+'Расх перем'!G31</f>
        <v>423.41468399999997</v>
      </c>
      <c r="J15" s="29">
        <f>'Расх перем'!H30+'Расх перем'!H31</f>
        <v>423.41468399999997</v>
      </c>
      <c r="K15" s="29">
        <f>'Расх перем'!I30+'Расх перем'!I31</f>
        <v>423.41468399999997</v>
      </c>
      <c r="L15" s="29">
        <f>'Расх перем'!J30+'Расх перем'!J31</f>
        <v>423.41468399999997</v>
      </c>
      <c r="M15" s="29">
        <f>'Расх перем'!K30+'Расх перем'!K31</f>
        <v>423.41468399999997</v>
      </c>
      <c r="N15" s="29">
        <f>'Расх перем'!L30+'Расх перем'!L31</f>
        <v>204.052464</v>
      </c>
      <c r="O15" s="29">
        <f>'Расх перем'!M30+'Расх перем'!M31</f>
        <v>204.052464</v>
      </c>
      <c r="P15" s="27">
        <f t="shared" si="9"/>
        <v>3795.422399999999</v>
      </c>
      <c r="Q15" s="29">
        <f>'Расх перем'!B30+'Расх перем'!B31</f>
        <v>0</v>
      </c>
      <c r="R15" s="29">
        <f>'Расх перем'!C30+'Расх перем'!C31</f>
        <v>0</v>
      </c>
      <c r="S15" s="29">
        <f>'Расх перем'!D30+'Расх перем'!D31</f>
        <v>423.41468399999997</v>
      </c>
      <c r="T15" s="29">
        <f>'Расх перем'!E30+'Расх перем'!E31</f>
        <v>423.41468399999997</v>
      </c>
      <c r="U15" s="29">
        <f>'Расх перем'!F30+'Расх перем'!F31</f>
        <v>423.41468399999997</v>
      </c>
      <c r="V15" s="29">
        <f>'Расх перем'!G30+'Расх перем'!G31</f>
        <v>423.41468399999997</v>
      </c>
      <c r="W15" s="29">
        <f>'Расх перем'!H30+'Расх перем'!H31</f>
        <v>423.41468399999997</v>
      </c>
      <c r="X15" s="29">
        <f>'Расх перем'!I30+'Расх перем'!I31</f>
        <v>423.41468399999997</v>
      </c>
      <c r="Y15" s="29">
        <f>'Расх перем'!J30+'Расх перем'!J31</f>
        <v>423.41468399999997</v>
      </c>
      <c r="Z15" s="29">
        <f>'Расх перем'!K30+'Расх перем'!K31</f>
        <v>423.41468399999997</v>
      </c>
      <c r="AA15" s="29">
        <f>'Расх перем'!L30+'Расх перем'!L31</f>
        <v>204.052464</v>
      </c>
      <c r="AB15" s="29">
        <f>'Расх перем'!M30+'Расх перем'!M31</f>
        <v>204.052464</v>
      </c>
      <c r="AC15" s="27">
        <f t="shared" si="10"/>
        <v>3795.422399999999</v>
      </c>
      <c r="AD15" s="29">
        <f>'Расх перем'!$N$30+'Расх перем'!$N$31</f>
        <v>3795.4223999999995</v>
      </c>
      <c r="AE15" s="29">
        <f>'Расх перем'!$N$30+'Расх перем'!$N$31</f>
        <v>3795.4223999999995</v>
      </c>
      <c r="AF15" s="29">
        <f>'Расх перем'!$N$30+'Расх перем'!$N$31</f>
        <v>3795.4223999999995</v>
      </c>
      <c r="AG15" s="29">
        <f>'Расх перем'!$N$30+'Расх перем'!$N$31</f>
        <v>3795.4223999999995</v>
      </c>
      <c r="AH15" s="29">
        <f>'Расх перем'!$N$30+'Расх перем'!$N$31</f>
        <v>3795.4223999999995</v>
      </c>
      <c r="AI15" s="29">
        <f>'Расх перем'!$N$30+'Расх перем'!$N$31</f>
        <v>3795.4223999999995</v>
      </c>
    </row>
    <row r="16" spans="1:35" ht="12.75">
      <c r="A16" s="28" t="str">
        <f>'2-ф2'!A12</f>
        <v>Электроэнергия, вода</v>
      </c>
      <c r="B16" s="27">
        <f t="shared" si="8"/>
        <v>61664.35968</v>
      </c>
      <c r="C16" s="32"/>
      <c r="D16" s="29">
        <f>'Расх перем'!B32+'Расх перем'!B33</f>
        <v>0</v>
      </c>
      <c r="E16" s="29">
        <f>'Расх перем'!C32+'Расх перем'!C33</f>
        <v>0</v>
      </c>
      <c r="F16" s="29">
        <f>'Расх перем'!D32+'Расх перем'!D33</f>
        <v>37.333296</v>
      </c>
      <c r="G16" s="29">
        <f>'Расх перем'!E32+'Расх перем'!E33</f>
        <v>37.333296</v>
      </c>
      <c r="H16" s="29">
        <f>'Расх перем'!F32+'Расх перем'!F33</f>
        <v>1504.2756960000002</v>
      </c>
      <c r="I16" s="29">
        <f>'Расх перем'!G32+'Расх перем'!G33</f>
        <v>1504.2756960000002</v>
      </c>
      <c r="J16" s="29">
        <f>'Расх перем'!H32+'Расх перем'!H33</f>
        <v>1504.2756960000002</v>
      </c>
      <c r="K16" s="29">
        <f>'Расх перем'!I32+'Расх перем'!I33</f>
        <v>1504.2756960000002</v>
      </c>
      <c r="L16" s="29">
        <f>'Расх перем'!J32+'Расх перем'!J33</f>
        <v>1504.2756960000002</v>
      </c>
      <c r="M16" s="29">
        <f>'Расх перем'!K32+'Расх перем'!K33</f>
        <v>37.333296</v>
      </c>
      <c r="N16" s="29">
        <f>'Расх перем'!L32+'Расх перем'!L33</f>
        <v>37.333296</v>
      </c>
      <c r="O16" s="29">
        <f>'Расх перем'!M32+'Расх перем'!M33</f>
        <v>37.333296</v>
      </c>
      <c r="P16" s="27">
        <f t="shared" si="9"/>
        <v>7708.04496</v>
      </c>
      <c r="Q16" s="29">
        <f>'Расх перем'!B32+'Расх перем'!B33</f>
        <v>0</v>
      </c>
      <c r="R16" s="29">
        <f>'Расх перем'!C32+'Расх перем'!C33</f>
        <v>0</v>
      </c>
      <c r="S16" s="29">
        <f>'Расх перем'!D32+'Расх перем'!D33</f>
        <v>37.333296</v>
      </c>
      <c r="T16" s="29">
        <f>'Расх перем'!E32+'Расх перем'!E33</f>
        <v>37.333296</v>
      </c>
      <c r="U16" s="29">
        <f>'Расх перем'!F32+'Расх перем'!F33</f>
        <v>1504.2756960000002</v>
      </c>
      <c r="V16" s="29">
        <f>'Расх перем'!G32+'Расх перем'!G33</f>
        <v>1504.2756960000002</v>
      </c>
      <c r="W16" s="29">
        <f>'Расх перем'!H32+'Расх перем'!H33</f>
        <v>1504.2756960000002</v>
      </c>
      <c r="X16" s="29">
        <f>'Расх перем'!I32+'Расх перем'!I33</f>
        <v>1504.2756960000002</v>
      </c>
      <c r="Y16" s="29">
        <f>'Расх перем'!J32+'Расх перем'!J33</f>
        <v>1504.2756960000002</v>
      </c>
      <c r="Z16" s="29">
        <f>'Расх перем'!K32+'Расх перем'!K33</f>
        <v>37.333296</v>
      </c>
      <c r="AA16" s="29">
        <f>'Расх перем'!L32+'Расх перем'!L33</f>
        <v>37.333296</v>
      </c>
      <c r="AB16" s="29">
        <f>'Расх перем'!M32+'Расх перем'!M33</f>
        <v>37.333296</v>
      </c>
      <c r="AC16" s="27">
        <f t="shared" si="10"/>
        <v>7708.04496</v>
      </c>
      <c r="AD16" s="29">
        <f>'Расх перем'!$N$32+'Расх перем'!$N$33</f>
        <v>7708.04496</v>
      </c>
      <c r="AE16" s="29">
        <f>'Расх перем'!$N$32+'Расх перем'!$N$33</f>
        <v>7708.04496</v>
      </c>
      <c r="AF16" s="29">
        <f>'Расх перем'!$N$32+'Расх перем'!$N$33</f>
        <v>7708.04496</v>
      </c>
      <c r="AG16" s="29">
        <f>'Расх перем'!$N$32+'Расх перем'!$N$33</f>
        <v>7708.04496</v>
      </c>
      <c r="AH16" s="29">
        <f>'Расх перем'!$N$32+'Расх перем'!$N$33</f>
        <v>7708.04496</v>
      </c>
      <c r="AI16" s="29">
        <f>'Расх перем'!$N$32+'Расх перем'!$N$33</f>
        <v>7708.04496</v>
      </c>
    </row>
    <row r="17" spans="1:35" ht="12.75">
      <c r="A17" s="28" t="str">
        <f>'2-ф2'!A13</f>
        <v>Налоги, страхование</v>
      </c>
      <c r="B17" s="27">
        <f t="shared" si="8"/>
        <v>19615.115520000003</v>
      </c>
      <c r="C17" s="32"/>
      <c r="D17" s="29">
        <f>'Расх перем'!B34+'Расх перем'!B35</f>
        <v>0</v>
      </c>
      <c r="E17" s="29">
        <f>'Расх перем'!C34+'Расх перем'!C35</f>
        <v>0</v>
      </c>
      <c r="F17" s="29">
        <f>'Расх перем'!D34+'Расх перем'!D35</f>
        <v>573.659856</v>
      </c>
      <c r="G17" s="29">
        <f>'Расх перем'!E34+'Расх перем'!E35</f>
        <v>573.659856</v>
      </c>
      <c r="H17" s="29">
        <f>'Расх перем'!F34+'Расх перем'!F35</f>
        <v>163.071216</v>
      </c>
      <c r="I17" s="29">
        <f>'Расх перем'!G34+'Расх перем'!G35</f>
        <v>163.071216</v>
      </c>
      <c r="J17" s="29">
        <f>'Расх перем'!H34+'Расх перем'!H35</f>
        <v>163.071216</v>
      </c>
      <c r="K17" s="29">
        <f>'Расх перем'!I34+'Расх перем'!I35</f>
        <v>163.071216</v>
      </c>
      <c r="L17" s="29">
        <f>'Расх перем'!J34+'Расх перем'!J35</f>
        <v>163.071216</v>
      </c>
      <c r="M17" s="29">
        <f>'Расх перем'!K34+'Расх перем'!K35</f>
        <v>163.071216</v>
      </c>
      <c r="N17" s="29">
        <f>'Расх перем'!L34+'Расх перем'!L35</f>
        <v>163.071216</v>
      </c>
      <c r="O17" s="29">
        <f>'Расх перем'!M34+'Расх перем'!M35</f>
        <v>163.071216</v>
      </c>
      <c r="P17" s="27">
        <f t="shared" si="9"/>
        <v>2451.88944</v>
      </c>
      <c r="Q17" s="29">
        <f>'Расх перем'!B34+'Расх перем'!B35</f>
        <v>0</v>
      </c>
      <c r="R17" s="29">
        <f>'Расх перем'!C34+'Расх перем'!C35</f>
        <v>0</v>
      </c>
      <c r="S17" s="29">
        <f>'Расх перем'!D34+'Расх перем'!D35</f>
        <v>573.659856</v>
      </c>
      <c r="T17" s="29">
        <f>'Расх перем'!E34+'Расх перем'!E35</f>
        <v>573.659856</v>
      </c>
      <c r="U17" s="29">
        <f>'Расх перем'!F34+'Расх перем'!F35</f>
        <v>163.071216</v>
      </c>
      <c r="V17" s="29">
        <f>'Расх перем'!G34+'Расх перем'!G35</f>
        <v>163.071216</v>
      </c>
      <c r="W17" s="29">
        <f>'Расх перем'!H34+'Расх перем'!H35</f>
        <v>163.071216</v>
      </c>
      <c r="X17" s="29">
        <f>'Расх перем'!I34+'Расх перем'!I35</f>
        <v>163.071216</v>
      </c>
      <c r="Y17" s="29">
        <f>'Расх перем'!J34+'Расх перем'!J35</f>
        <v>163.071216</v>
      </c>
      <c r="Z17" s="29">
        <f>'Расх перем'!K34+'Расх перем'!K35</f>
        <v>163.071216</v>
      </c>
      <c r="AA17" s="29">
        <f>'Расх перем'!L34+'Расх перем'!L35</f>
        <v>163.071216</v>
      </c>
      <c r="AB17" s="29">
        <f>'Расх перем'!M34+'Расх перем'!M35</f>
        <v>163.071216</v>
      </c>
      <c r="AC17" s="27">
        <f t="shared" si="10"/>
        <v>2451.88944</v>
      </c>
      <c r="AD17" s="29">
        <f>'Расх перем'!$N$34+'Расх перем'!$N$35</f>
        <v>2451.8894400000004</v>
      </c>
      <c r="AE17" s="29">
        <f>'Расх перем'!$N$34+'Расх перем'!$N$35</f>
        <v>2451.8894400000004</v>
      </c>
      <c r="AF17" s="29">
        <f>'Расх перем'!$N$34+'Расх перем'!$N$35</f>
        <v>2451.8894400000004</v>
      </c>
      <c r="AG17" s="29">
        <f>'Расх перем'!$N$34+'Расх перем'!$N$35</f>
        <v>2451.8894400000004</v>
      </c>
      <c r="AH17" s="29">
        <f>'Расх перем'!$N$34+'Расх перем'!$N$35</f>
        <v>2451.8894400000004</v>
      </c>
      <c r="AI17" s="29">
        <f>'Расх перем'!$N$34+'Расх перем'!$N$35</f>
        <v>2451.8894400000004</v>
      </c>
    </row>
    <row r="18" spans="1:35" ht="12.75">
      <c r="A18" s="28" t="str">
        <f>'2-ф2'!A14</f>
        <v>Прочие</v>
      </c>
      <c r="B18" s="27">
        <f t="shared" si="6"/>
        <v>17944.819199999998</v>
      </c>
      <c r="C18" s="32"/>
      <c r="D18" s="29">
        <f>'Расх перем'!B36</f>
        <v>0</v>
      </c>
      <c r="E18" s="29">
        <f>'Расх перем'!C36</f>
        <v>0</v>
      </c>
      <c r="F18" s="29">
        <f>'Расх перем'!D36</f>
        <v>224.31023999999996</v>
      </c>
      <c r="G18" s="29">
        <f>'Расх перем'!E36</f>
        <v>224.31023999999996</v>
      </c>
      <c r="H18" s="29">
        <f>'Расх перем'!F36</f>
        <v>224.31023999999996</v>
      </c>
      <c r="I18" s="29">
        <f>'Расх перем'!G36</f>
        <v>224.31023999999996</v>
      </c>
      <c r="J18" s="29">
        <f>'Расх перем'!H36</f>
        <v>224.31023999999996</v>
      </c>
      <c r="K18" s="29">
        <f>'Расх перем'!I36</f>
        <v>224.31023999999996</v>
      </c>
      <c r="L18" s="29">
        <f>'Расх перем'!J36</f>
        <v>224.31023999999996</v>
      </c>
      <c r="M18" s="29">
        <f>'Расх перем'!K36</f>
        <v>224.31023999999996</v>
      </c>
      <c r="N18" s="29">
        <f>'Расх перем'!L36</f>
        <v>224.31023999999996</v>
      </c>
      <c r="O18" s="29">
        <f>'Расх перем'!M36</f>
        <v>224.31023999999996</v>
      </c>
      <c r="P18" s="27">
        <f t="shared" si="9"/>
        <v>2243.1023999999998</v>
      </c>
      <c r="Q18" s="29">
        <f>'Расх перем'!B36</f>
        <v>0</v>
      </c>
      <c r="R18" s="29">
        <f>'Расх перем'!C36</f>
        <v>0</v>
      </c>
      <c r="S18" s="29">
        <f>'Расх перем'!D36</f>
        <v>224.31023999999996</v>
      </c>
      <c r="T18" s="29">
        <f>'Расх перем'!E36</f>
        <v>224.31023999999996</v>
      </c>
      <c r="U18" s="29">
        <f>'Расх перем'!F36</f>
        <v>224.31023999999996</v>
      </c>
      <c r="V18" s="29">
        <f>'Расх перем'!G36</f>
        <v>224.31023999999996</v>
      </c>
      <c r="W18" s="29">
        <f>'Расх перем'!H36</f>
        <v>224.31023999999996</v>
      </c>
      <c r="X18" s="29">
        <f>'Расх перем'!I36</f>
        <v>224.31023999999996</v>
      </c>
      <c r="Y18" s="29">
        <f>'Расх перем'!J36</f>
        <v>224.31023999999996</v>
      </c>
      <c r="Z18" s="29">
        <f>'Расх перем'!K36</f>
        <v>224.31023999999996</v>
      </c>
      <c r="AA18" s="29">
        <f>'Расх перем'!L36</f>
        <v>224.31023999999996</v>
      </c>
      <c r="AB18" s="29">
        <f>'Расх перем'!M36</f>
        <v>224.31023999999996</v>
      </c>
      <c r="AC18" s="27">
        <f t="shared" si="10"/>
        <v>2243.1023999999998</v>
      </c>
      <c r="AD18" s="29">
        <f>'Расх перем'!$N$36</f>
        <v>2243.1023999999998</v>
      </c>
      <c r="AE18" s="29">
        <f>'Расх перем'!$N$36</f>
        <v>2243.1023999999998</v>
      </c>
      <c r="AF18" s="29">
        <f>'Расх перем'!$N$36</f>
        <v>2243.1023999999998</v>
      </c>
      <c r="AG18" s="29">
        <f>'Расх перем'!$N$36</f>
        <v>2243.1023999999998</v>
      </c>
      <c r="AH18" s="29">
        <f>'Расх перем'!$N$36</f>
        <v>2243.1023999999998</v>
      </c>
      <c r="AI18" s="29">
        <f>'Расх перем'!$N$36</f>
        <v>2243.1023999999998</v>
      </c>
    </row>
    <row r="19" spans="1:35" ht="12.75">
      <c r="A19" s="28" t="s">
        <v>148</v>
      </c>
      <c r="B19" s="27">
        <f t="shared" si="6"/>
        <v>15682.2221</v>
      </c>
      <c r="C19" s="27"/>
      <c r="D19" s="29"/>
      <c r="E19" s="29"/>
      <c r="F19" s="29">
        <f>(Пост!$C$14-Пост!$C$6)*Исх!$C$20+Пост!$C$6+Пост!$C$16+Пост!$C$19</f>
        <v>166.83215</v>
      </c>
      <c r="G19" s="29">
        <f>(Пост!$C$14-Пост!$C$6)*Исх!$C$20+Пост!$C$6+Пост!$C$16+Пост!$C$19</f>
        <v>166.83215</v>
      </c>
      <c r="H19" s="29">
        <f>(Пост!$C$14-Пост!$C$6)*Исх!$C$20+Пост!$C$6+Пост!$C$16+Пост!$C$19</f>
        <v>166.83215</v>
      </c>
      <c r="I19" s="29">
        <f>(Пост!$C$14-Пост!$C$6)*Исх!$C$20+Пост!$C$6+Пост!$C$16+Пост!$C$19</f>
        <v>166.83215</v>
      </c>
      <c r="J19" s="29">
        <f>(Пост!$C$14-Пост!$C$6)*Исх!$C$20+Пост!$C$6+Пост!$C$16+Пост!$C$19</f>
        <v>166.83215</v>
      </c>
      <c r="K19" s="29">
        <f>(Пост!$C$14-Пост!$C$6)*Исх!$C$20+Пост!$C$6+Пост!$C$16+Пост!$C$19</f>
        <v>166.83215</v>
      </c>
      <c r="L19" s="29">
        <f>(Пост!$C$14-Пост!$C$6)*Исх!$C$20+Пост!$C$6+Пост!$C$16+Пост!$C$19</f>
        <v>166.83215</v>
      </c>
      <c r="M19" s="29">
        <f>(Пост!$C$14-Пост!$C$6)*Исх!$C$20+Пост!$C$6+Пост!$C$16+Пост!$C$19</f>
        <v>166.83215</v>
      </c>
      <c r="N19" s="29">
        <f>(Пост!$C$14-Пост!$C$6)*Исх!$C$20+Пост!$C$6+Пост!$C$16+Пост!$C$19</f>
        <v>166.83215</v>
      </c>
      <c r="O19" s="29">
        <f>(Пост!$C$14-Пост!$C$6)*Исх!$C$20+Пост!$C$6+Пост!$C$16+Пост!$C$19</f>
        <v>166.83215</v>
      </c>
      <c r="P19" s="27">
        <f t="shared" si="9"/>
        <v>1668.3214999999998</v>
      </c>
      <c r="Q19" s="29">
        <f>(Пост!$D$14-Пост!$D$6)*Исх!$C$20+Пост!$D$6+Пост!$D$16+Пост!$D$19</f>
        <v>166.83215</v>
      </c>
      <c r="R19" s="29">
        <f>(Пост!$D$14-Пост!$D$6)*Исх!$C$20+Пост!$D$6+Пост!$D$16+Пост!$D$19</f>
        <v>166.83215</v>
      </c>
      <c r="S19" s="29">
        <f>(Пост!$D$14-Пост!$D$6)*Исх!$C$20+Пост!$D$6+Пост!$D$16+Пост!$D$19</f>
        <v>166.83215</v>
      </c>
      <c r="T19" s="29">
        <f>(Пост!$D$14-Пост!$D$6)*Исх!$C$20+Пост!$D$6+Пост!$D$16+Пост!$D$19</f>
        <v>166.83215</v>
      </c>
      <c r="U19" s="29">
        <f>(Пост!$D$14-Пост!$D$6)*Исх!$C$20+Пост!$D$6+Пост!$D$16+Пост!$D$19</f>
        <v>166.83215</v>
      </c>
      <c r="V19" s="29">
        <f>(Пост!$D$14-Пост!$D$6)*Исх!$C$20+Пост!$D$6+Пост!$D$16+Пост!$D$19</f>
        <v>166.83215</v>
      </c>
      <c r="W19" s="29">
        <f>(Пост!$D$14-Пост!$D$6)*Исх!$C$20+Пост!$D$6+Пост!$D$16+Пост!$D$19</f>
        <v>166.83215</v>
      </c>
      <c r="X19" s="29">
        <f>(Пост!$D$14-Пост!$D$6)*Исх!$C$20+Пост!$D$6+Пост!$D$16+Пост!$D$19</f>
        <v>166.83215</v>
      </c>
      <c r="Y19" s="29">
        <f>(Пост!$D$14-Пост!$D$6)*Исх!$C$20+Пост!$D$6+Пост!$D$16+Пост!$D$19</f>
        <v>166.83215</v>
      </c>
      <c r="Z19" s="29">
        <f>(Пост!$D$14-Пост!$D$6)*Исх!$C$20+Пост!$D$6+Пост!$D$16+Пост!$D$19</f>
        <v>166.83215</v>
      </c>
      <c r="AA19" s="29">
        <f>(Пост!$D$14-Пост!$D$6)*Исх!$C$20+Пост!$D$6+Пост!$D$16+Пост!$D$19</f>
        <v>166.83215</v>
      </c>
      <c r="AB19" s="29">
        <f>(Пост!$D$14-Пост!$D$6)*Исх!$C$20+Пост!$D$6+Пост!$D$16+Пост!$D$19</f>
        <v>166.83215</v>
      </c>
      <c r="AC19" s="27">
        <f t="shared" si="10"/>
        <v>2001.9857999999997</v>
      </c>
      <c r="AD19" s="29">
        <f>((Пост!E14-Пост!E6)*Исх!$C$20+Пост!E6+Пост!E16+Пост!E19)*12</f>
        <v>2001.9858000000002</v>
      </c>
      <c r="AE19" s="29">
        <f>((Пост!F14-Пост!F6)*Исх!$C$20+Пост!F6+Пост!F16+Пост!F19)*12</f>
        <v>2001.9858000000002</v>
      </c>
      <c r="AF19" s="29">
        <f>((Пост!G14-Пост!G6)*Исх!$C$20+Пост!G6+Пост!G16+Пост!G19)*12</f>
        <v>2001.9858000000002</v>
      </c>
      <c r="AG19" s="29">
        <f>((Пост!H14-Пост!H6)*Исх!$C$20+Пост!H6+Пост!H16+Пост!H19)*12</f>
        <v>2001.9858000000002</v>
      </c>
      <c r="AH19" s="29">
        <f>((Пост!I14-Пост!I6)*Исх!$C$20+Пост!I6+Пост!I16+Пост!I19)*12</f>
        <v>2001.9858000000002</v>
      </c>
      <c r="AI19" s="29">
        <f>((Пост!J14-Пост!J6)*Исх!$C$20+Пост!J6+Пост!J16+Пост!J19)*12</f>
        <v>2001.9858000000002</v>
      </c>
    </row>
    <row r="20" spans="1:35" ht="12.75">
      <c r="A20" s="28" t="s">
        <v>52</v>
      </c>
      <c r="B20" s="27">
        <f t="shared" si="6"/>
        <v>13585.232300260319</v>
      </c>
      <c r="C20" s="27"/>
      <c r="D20" s="29">
        <f>кр!C11</f>
        <v>0</v>
      </c>
      <c r="E20" s="29">
        <f>кр!D11</f>
        <v>0</v>
      </c>
      <c r="F20" s="29">
        <f>кр!E11</f>
        <v>0</v>
      </c>
      <c r="G20" s="29">
        <f>кр!F11</f>
        <v>0</v>
      </c>
      <c r="H20" s="29">
        <f>кр!G11</f>
        <v>0</v>
      </c>
      <c r="I20" s="29">
        <f>кр!H11</f>
        <v>0</v>
      </c>
      <c r="J20" s="29">
        <f>кр!I11</f>
        <v>0</v>
      </c>
      <c r="K20" s="29">
        <f>кр!J11</f>
        <v>0</v>
      </c>
      <c r="L20" s="29">
        <f>кр!K11</f>
        <v>0</v>
      </c>
      <c r="M20" s="29">
        <f>кр!L11</f>
        <v>0</v>
      </c>
      <c r="N20" s="29">
        <f>кр!M11</f>
        <v>0</v>
      </c>
      <c r="O20" s="29">
        <f>кр!N11</f>
        <v>0</v>
      </c>
      <c r="P20" s="27">
        <f t="shared" si="9"/>
        <v>0</v>
      </c>
      <c r="Q20" s="29">
        <f>кр!P11</f>
        <v>372.1981452126117</v>
      </c>
      <c r="R20" s="29">
        <f>кр!Q11</f>
        <v>367.02872652910315</v>
      </c>
      <c r="S20" s="29">
        <f>кр!R11</f>
        <v>361.8593078455947</v>
      </c>
      <c r="T20" s="29">
        <f>кр!S11</f>
        <v>356.6898891620862</v>
      </c>
      <c r="U20" s="29">
        <f>кр!T11</f>
        <v>351.52047047857764</v>
      </c>
      <c r="V20" s="29">
        <f>кр!U11</f>
        <v>346.35105179506917</v>
      </c>
      <c r="W20" s="29">
        <f>кр!V11</f>
        <v>341.18163311156064</v>
      </c>
      <c r="X20" s="29">
        <f>кр!W11</f>
        <v>336.0122144280522</v>
      </c>
      <c r="Y20" s="29">
        <f>кр!X11</f>
        <v>330.8427957445437</v>
      </c>
      <c r="Z20" s="29">
        <f>кр!Y11</f>
        <v>325.6733770610352</v>
      </c>
      <c r="AA20" s="29">
        <f>кр!Z11</f>
        <v>320.50395837752666</v>
      </c>
      <c r="AB20" s="29">
        <f>кр!AA11</f>
        <v>315.3345396940182</v>
      </c>
      <c r="AC20" s="27">
        <f t="shared" si="10"/>
        <v>4125.196109439779</v>
      </c>
      <c r="AD20" s="33">
        <f>кр!AO11</f>
        <v>3380.7998190145554</v>
      </c>
      <c r="AE20" s="33">
        <f>кр!BB11</f>
        <v>2636.4035285893324</v>
      </c>
      <c r="AF20" s="33">
        <f>кр!BO11</f>
        <v>1892.0072381641085</v>
      </c>
      <c r="AG20" s="33">
        <f>кр!CB11</f>
        <v>1147.610947738885</v>
      </c>
      <c r="AH20" s="33">
        <f>кр!CO11</f>
        <v>403.2146573136617</v>
      </c>
      <c r="AI20" s="33">
        <f>кр!DB11</f>
        <v>-9.70885594142601E-13</v>
      </c>
    </row>
    <row r="21" spans="1:35" ht="12.75">
      <c r="A21" s="28" t="s">
        <v>214</v>
      </c>
      <c r="B21" s="27">
        <f t="shared" si="6"/>
        <v>70.76111111111112</v>
      </c>
      <c r="C21" s="27"/>
      <c r="D21" s="29">
        <f>'2-ф2'!D20</f>
        <v>0</v>
      </c>
      <c r="E21" s="29">
        <f>'2-ф2'!E20</f>
        <v>0</v>
      </c>
      <c r="F21" s="29">
        <f>'2-ф2'!F20</f>
        <v>0.7527777777777779</v>
      </c>
      <c r="G21" s="29">
        <f>'2-ф2'!G20</f>
        <v>0.7527777777777779</v>
      </c>
      <c r="H21" s="29">
        <f>'2-ф2'!H20</f>
        <v>0.7527777777777779</v>
      </c>
      <c r="I21" s="29">
        <f>'2-ф2'!I20</f>
        <v>0.7527777777777779</v>
      </c>
      <c r="J21" s="29">
        <f>'2-ф2'!J20</f>
        <v>0.7527777777777779</v>
      </c>
      <c r="K21" s="29">
        <f>'2-ф2'!K20</f>
        <v>0.7527777777777779</v>
      </c>
      <c r="L21" s="29">
        <f>'2-ф2'!L20</f>
        <v>0.7527777777777779</v>
      </c>
      <c r="M21" s="29">
        <f>'2-ф2'!M20</f>
        <v>0.7527777777777779</v>
      </c>
      <c r="N21" s="29">
        <f>'2-ф2'!N20</f>
        <v>0.7527777777777779</v>
      </c>
      <c r="O21" s="29">
        <f>'2-ф2'!O20</f>
        <v>0.7527777777777779</v>
      </c>
      <c r="P21" s="27">
        <f t="shared" si="9"/>
        <v>7.52777777777778</v>
      </c>
      <c r="Q21" s="29">
        <f>'2-ф2'!Q20</f>
        <v>0.7527777777777779</v>
      </c>
      <c r="R21" s="29">
        <f>'2-ф2'!R20</f>
        <v>0.7527777777777779</v>
      </c>
      <c r="S21" s="29">
        <f>'2-ф2'!S20</f>
        <v>0.7527777777777779</v>
      </c>
      <c r="T21" s="29">
        <f>'2-ф2'!T20</f>
        <v>0.7527777777777779</v>
      </c>
      <c r="U21" s="29">
        <f>'2-ф2'!U20</f>
        <v>0.7527777777777779</v>
      </c>
      <c r="V21" s="29">
        <f>'2-ф2'!V20</f>
        <v>0.7527777777777779</v>
      </c>
      <c r="W21" s="29">
        <f>'2-ф2'!W20</f>
        <v>0.7527777777777779</v>
      </c>
      <c r="X21" s="29">
        <f>'2-ф2'!X20</f>
        <v>0.7527777777777779</v>
      </c>
      <c r="Y21" s="29">
        <f>'2-ф2'!Y20</f>
        <v>0.7527777777777779</v>
      </c>
      <c r="Z21" s="29">
        <f>'2-ф2'!Z20</f>
        <v>0.7527777777777779</v>
      </c>
      <c r="AA21" s="29">
        <f>'2-ф2'!AA20</f>
        <v>0.7527777777777779</v>
      </c>
      <c r="AB21" s="29">
        <f>'2-ф2'!AB20</f>
        <v>0.7527777777777779</v>
      </c>
      <c r="AC21" s="27">
        <f t="shared" si="10"/>
        <v>9.033333333333337</v>
      </c>
      <c r="AD21" s="29">
        <f>'2-ф2'!AD20</f>
        <v>9.033333333333335</v>
      </c>
      <c r="AE21" s="29">
        <f>'2-ф2'!AE20</f>
        <v>9.033333333333335</v>
      </c>
      <c r="AF21" s="29">
        <f>'2-ф2'!AF20</f>
        <v>9.033333333333335</v>
      </c>
      <c r="AG21" s="29">
        <f>'2-ф2'!AG20</f>
        <v>9.033333333333335</v>
      </c>
      <c r="AH21" s="29">
        <f>'2-ф2'!AH20</f>
        <v>9.033333333333335</v>
      </c>
      <c r="AI21" s="29">
        <f>'2-ф2'!AI20</f>
        <v>9.033333333333335</v>
      </c>
    </row>
    <row r="22" spans="1:35" ht="12.75">
      <c r="A22" s="28" t="s">
        <v>31</v>
      </c>
      <c r="B22" s="27">
        <f t="shared" si="6"/>
        <v>0</v>
      </c>
      <c r="C22" s="27"/>
      <c r="D22" s="29">
        <f>'2-ф2'!D35</f>
        <v>0</v>
      </c>
      <c r="E22" s="29">
        <f>'2-ф2'!E35</f>
        <v>0</v>
      </c>
      <c r="F22" s="29">
        <f>'2-ф2'!F35</f>
        <v>0</v>
      </c>
      <c r="G22" s="29">
        <f>'2-ф2'!G35</f>
        <v>0</v>
      </c>
      <c r="H22" s="29">
        <f>'2-ф2'!H35</f>
        <v>0</v>
      </c>
      <c r="I22" s="29">
        <f>'2-ф2'!I35</f>
        <v>0</v>
      </c>
      <c r="J22" s="29">
        <f>'2-ф2'!J35</f>
        <v>0</v>
      </c>
      <c r="K22" s="29">
        <f>'2-ф2'!K35</f>
        <v>0</v>
      </c>
      <c r="L22" s="29">
        <f>'2-ф2'!L35</f>
        <v>0</v>
      </c>
      <c r="M22" s="29">
        <f>'2-ф2'!M35</f>
        <v>0</v>
      </c>
      <c r="N22" s="29">
        <f>'2-ф2'!N35</f>
        <v>0</v>
      </c>
      <c r="O22" s="29">
        <f>'2-ф2'!O35</f>
        <v>0</v>
      </c>
      <c r="P22" s="27">
        <f t="shared" si="9"/>
        <v>0</v>
      </c>
      <c r="Q22" s="29">
        <f>'2-ф2'!Q35</f>
        <v>0</v>
      </c>
      <c r="R22" s="29">
        <f>'2-ф2'!R35</f>
        <v>0</v>
      </c>
      <c r="S22" s="29">
        <f>'2-ф2'!S35</f>
        <v>0</v>
      </c>
      <c r="T22" s="29">
        <f>'2-ф2'!T35</f>
        <v>0</v>
      </c>
      <c r="U22" s="29">
        <f>'2-ф2'!U35</f>
        <v>0</v>
      </c>
      <c r="V22" s="29">
        <f>'2-ф2'!V35</f>
        <v>0</v>
      </c>
      <c r="W22" s="29">
        <f>'2-ф2'!W35</f>
        <v>0</v>
      </c>
      <c r="X22" s="29">
        <f>'2-ф2'!X35</f>
        <v>0</v>
      </c>
      <c r="Y22" s="29">
        <f>'2-ф2'!Y35</f>
        <v>0</v>
      </c>
      <c r="Z22" s="29">
        <f>'2-ф2'!Z35</f>
        <v>0</v>
      </c>
      <c r="AA22" s="29">
        <f>'2-ф2'!AA35</f>
        <v>0</v>
      </c>
      <c r="AB22" s="29">
        <f>'2-ф2'!AB35</f>
        <v>0</v>
      </c>
      <c r="AC22" s="27">
        <f t="shared" si="10"/>
        <v>0</v>
      </c>
      <c r="AD22" s="29">
        <f>'2-ф2'!AD35</f>
        <v>0</v>
      </c>
      <c r="AE22" s="29">
        <f>'2-ф2'!AE35</f>
        <v>0</v>
      </c>
      <c r="AF22" s="29">
        <f>'2-ф2'!AF35</f>
        <v>0</v>
      </c>
      <c r="AG22" s="29">
        <f>'2-ф2'!AG35</f>
        <v>0</v>
      </c>
      <c r="AH22" s="29">
        <f>'2-ф2'!AH35</f>
        <v>0</v>
      </c>
      <c r="AI22" s="29">
        <f>'2-ф2'!AI35</f>
        <v>0</v>
      </c>
    </row>
    <row r="23" spans="1:35" s="21" customFormat="1" ht="25.5">
      <c r="A23" s="34" t="s">
        <v>17</v>
      </c>
      <c r="B23" s="18">
        <f>B9-B11</f>
        <v>99945.10764222848</v>
      </c>
      <c r="C23" s="18"/>
      <c r="D23" s="18">
        <f aca="true" t="shared" si="11" ref="D23:AI23">D9-D11</f>
        <v>0</v>
      </c>
      <c r="E23" s="18">
        <f t="shared" si="11"/>
        <v>0</v>
      </c>
      <c r="F23" s="18">
        <f t="shared" si="11"/>
        <v>-4533.1582937777775</v>
      </c>
      <c r="G23" s="18">
        <f t="shared" si="11"/>
        <v>-4533.1582937777775</v>
      </c>
      <c r="H23" s="18">
        <f t="shared" si="11"/>
        <v>-4786.962613777778</v>
      </c>
      <c r="I23" s="18">
        <f t="shared" si="11"/>
        <v>-4786.962613777778</v>
      </c>
      <c r="J23" s="18">
        <f t="shared" si="11"/>
        <v>-4786.962613777778</v>
      </c>
      <c r="K23" s="18">
        <f t="shared" si="11"/>
        <v>-4385.946613777778</v>
      </c>
      <c r="L23" s="18">
        <f t="shared" si="11"/>
        <v>-4385.946613777778</v>
      </c>
      <c r="M23" s="18">
        <f t="shared" si="11"/>
        <v>-2919.0042137777773</v>
      </c>
      <c r="N23" s="18">
        <f t="shared" si="11"/>
        <v>4132.199176222222</v>
      </c>
      <c r="O23" s="18">
        <f t="shared" si="11"/>
        <v>5335.764616222223</v>
      </c>
      <c r="P23" s="18">
        <f t="shared" si="11"/>
        <v>-25650.13807777778</v>
      </c>
      <c r="Q23" s="18">
        <f t="shared" si="11"/>
        <v>5592.33368700961</v>
      </c>
      <c r="R23" s="18">
        <f t="shared" si="11"/>
        <v>5597.503105693119</v>
      </c>
      <c r="S23" s="18">
        <f t="shared" si="11"/>
        <v>1237.0991583766272</v>
      </c>
      <c r="T23" s="18">
        <f t="shared" si="11"/>
        <v>1242.2685770601365</v>
      </c>
      <c r="U23" s="18">
        <f t="shared" si="11"/>
        <v>993.6336757436447</v>
      </c>
      <c r="V23" s="18">
        <f t="shared" si="11"/>
        <v>998.8030944271532</v>
      </c>
      <c r="W23" s="18">
        <f t="shared" si="11"/>
        <v>1003.9725131106616</v>
      </c>
      <c r="X23" s="18">
        <f t="shared" si="11"/>
        <v>-4721.95882820583</v>
      </c>
      <c r="Y23" s="18">
        <f t="shared" si="11"/>
        <v>-4716.789409522322</v>
      </c>
      <c r="Z23" s="18">
        <f t="shared" si="11"/>
        <v>-3244.6775908388126</v>
      </c>
      <c r="AA23" s="18">
        <f t="shared" si="11"/>
        <v>3811.6952178446954</v>
      </c>
      <c r="AB23" s="18">
        <f t="shared" si="11"/>
        <v>5020.430076528204</v>
      </c>
      <c r="AC23" s="18">
        <f t="shared" si="11"/>
        <v>12814.313277226873</v>
      </c>
      <c r="AD23" s="18">
        <f t="shared" si="11"/>
        <v>16992.694953252103</v>
      </c>
      <c r="AE23" s="18">
        <f t="shared" si="11"/>
        <v>17737.09124367732</v>
      </c>
      <c r="AF23" s="18">
        <f t="shared" si="11"/>
        <v>18481.487534102547</v>
      </c>
      <c r="AG23" s="18">
        <f t="shared" si="11"/>
        <v>19225.883824527773</v>
      </c>
      <c r="AH23" s="18">
        <f t="shared" si="11"/>
        <v>19970.28011495299</v>
      </c>
      <c r="AI23" s="18">
        <f t="shared" si="11"/>
        <v>20373.494772266655</v>
      </c>
    </row>
    <row r="24" spans="1:35" s="21" customFormat="1" ht="12.75">
      <c r="A24" s="22" t="s">
        <v>18</v>
      </c>
      <c r="B24" s="23"/>
      <c r="C24" s="23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3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35"/>
      <c r="AD24" s="35"/>
      <c r="AE24" s="35"/>
      <c r="AF24" s="35"/>
      <c r="AG24" s="35"/>
      <c r="AH24" s="35"/>
      <c r="AI24" s="35"/>
    </row>
    <row r="25" spans="1:35" s="21" customFormat="1" ht="12.75">
      <c r="A25" s="26" t="s">
        <v>5</v>
      </c>
      <c r="B25" s="27"/>
      <c r="C25" s="27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27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27"/>
      <c r="AD25" s="27"/>
      <c r="AE25" s="27"/>
      <c r="AF25" s="27"/>
      <c r="AG25" s="27"/>
      <c r="AH25" s="27"/>
      <c r="AI25" s="27"/>
    </row>
    <row r="26" spans="1:35" s="21" customFormat="1" ht="12.75">
      <c r="A26" s="26" t="s">
        <v>6</v>
      </c>
      <c r="B26" s="27">
        <f>SUM(B27:B28)</f>
        <v>63294.605705279995</v>
      </c>
      <c r="C26" s="27"/>
      <c r="D26" s="27">
        <f aca="true" t="shared" si="12" ref="D26:AC26">SUM(D27:D28)</f>
        <v>42039.7936392</v>
      </c>
      <c r="E26" s="27">
        <f>SUM(E27:E28)</f>
        <v>21254.812066079998</v>
      </c>
      <c r="F26" s="27">
        <f t="shared" si="12"/>
        <v>0</v>
      </c>
      <c r="G26" s="27">
        <f t="shared" si="12"/>
        <v>0</v>
      </c>
      <c r="H26" s="27">
        <f>SUM(H27:H28)</f>
        <v>0</v>
      </c>
      <c r="I26" s="27">
        <f t="shared" si="12"/>
        <v>0</v>
      </c>
      <c r="J26" s="27">
        <f t="shared" si="12"/>
        <v>0</v>
      </c>
      <c r="K26" s="27">
        <f t="shared" si="12"/>
        <v>0</v>
      </c>
      <c r="L26" s="27">
        <f t="shared" si="12"/>
        <v>0</v>
      </c>
      <c r="M26" s="27">
        <f t="shared" si="12"/>
        <v>0</v>
      </c>
      <c r="N26" s="27">
        <f t="shared" si="12"/>
        <v>0</v>
      </c>
      <c r="O26" s="27">
        <f t="shared" si="12"/>
        <v>0</v>
      </c>
      <c r="P26" s="27">
        <f t="shared" si="12"/>
        <v>63294.605705279995</v>
      </c>
      <c r="Q26" s="27">
        <f t="shared" si="12"/>
        <v>0</v>
      </c>
      <c r="R26" s="27">
        <f t="shared" si="12"/>
        <v>0</v>
      </c>
      <c r="S26" s="27">
        <f t="shared" si="12"/>
        <v>0</v>
      </c>
      <c r="T26" s="27">
        <f t="shared" si="12"/>
        <v>0</v>
      </c>
      <c r="U26" s="27">
        <f t="shared" si="12"/>
        <v>0</v>
      </c>
      <c r="V26" s="27">
        <f t="shared" si="12"/>
        <v>0</v>
      </c>
      <c r="W26" s="27">
        <f t="shared" si="12"/>
        <v>0</v>
      </c>
      <c r="X26" s="27">
        <f t="shared" si="12"/>
        <v>0</v>
      </c>
      <c r="Y26" s="27">
        <f t="shared" si="12"/>
        <v>0</v>
      </c>
      <c r="Z26" s="27">
        <f t="shared" si="12"/>
        <v>0</v>
      </c>
      <c r="AA26" s="27">
        <f t="shared" si="12"/>
        <v>0</v>
      </c>
      <c r="AB26" s="27">
        <f t="shared" si="12"/>
        <v>0</v>
      </c>
      <c r="AC26" s="27">
        <f t="shared" si="12"/>
        <v>0</v>
      </c>
      <c r="AD26" s="27">
        <f aca="true" t="shared" si="13" ref="AD26:AI26">SUM(AD27:AD28)</f>
        <v>0</v>
      </c>
      <c r="AE26" s="27">
        <f t="shared" si="13"/>
        <v>0</v>
      </c>
      <c r="AF26" s="27">
        <f t="shared" si="13"/>
        <v>0</v>
      </c>
      <c r="AG26" s="27">
        <f t="shared" si="13"/>
        <v>0</v>
      </c>
      <c r="AH26" s="27">
        <f t="shared" si="13"/>
        <v>0</v>
      </c>
      <c r="AI26" s="27">
        <f t="shared" si="13"/>
        <v>0</v>
      </c>
    </row>
    <row r="27" spans="1:35" ht="12.75">
      <c r="A27" s="37" t="s">
        <v>19</v>
      </c>
      <c r="B27" s="27">
        <f>P27+AC27+AD27+AE27+AF27+AG27+AH27+AI27</f>
        <v>60056.848055999995</v>
      </c>
      <c r="C27" s="27"/>
      <c r="D27" s="29">
        <f>Инв!E34</f>
        <v>42039.7936392</v>
      </c>
      <c r="E27" s="29">
        <f>Инв!F34</f>
        <v>18017.054416799998</v>
      </c>
      <c r="F27" s="29">
        <f>Инв!G34</f>
        <v>0</v>
      </c>
      <c r="G27" s="29">
        <f>Инв!H34</f>
        <v>0</v>
      </c>
      <c r="H27" s="29">
        <f>Инв!I34</f>
        <v>0</v>
      </c>
      <c r="I27" s="29">
        <f>Инв!J34</f>
        <v>0</v>
      </c>
      <c r="J27" s="29">
        <f>Инв!K34</f>
        <v>0</v>
      </c>
      <c r="K27" s="29"/>
      <c r="L27" s="29">
        <f>Инв!M34</f>
        <v>0</v>
      </c>
      <c r="M27" s="29">
        <f>Инв!N34</f>
        <v>0</v>
      </c>
      <c r="N27" s="29">
        <f>Инв!O34</f>
        <v>0</v>
      </c>
      <c r="O27" s="29">
        <f>Инв!P34</f>
        <v>0</v>
      </c>
      <c r="P27" s="27">
        <f>SUM(D27:O27)</f>
        <v>60056.848055999995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7">
        <f>SUM(Q27:AB27)</f>
        <v>0</v>
      </c>
      <c r="AD27" s="27"/>
      <c r="AE27" s="27"/>
      <c r="AF27" s="27"/>
      <c r="AG27" s="27"/>
      <c r="AH27" s="27"/>
      <c r="AI27" s="27"/>
    </row>
    <row r="28" spans="1:35" ht="12.75" outlineLevel="1">
      <c r="A28" s="37" t="s">
        <v>246</v>
      </c>
      <c r="B28" s="27">
        <f>P28+AC28+AD28+AE28+AF28+AG28+AH28+AI28</f>
        <v>3237.75764928</v>
      </c>
      <c r="C28" s="27"/>
      <c r="D28" s="29"/>
      <c r="E28" s="29">
        <f>Инв!F43</f>
        <v>3237.75764928</v>
      </c>
      <c r="F28" s="29">
        <f>Инв!G43</f>
        <v>0</v>
      </c>
      <c r="G28" s="29"/>
      <c r="H28" s="29"/>
      <c r="I28" s="29"/>
      <c r="J28" s="29"/>
      <c r="K28" s="29"/>
      <c r="L28" s="29"/>
      <c r="M28" s="29"/>
      <c r="N28" s="29"/>
      <c r="O28" s="29"/>
      <c r="P28" s="27">
        <f>SUM(D28:O28)</f>
        <v>3237.75764928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7"/>
      <c r="AD28" s="27"/>
      <c r="AE28" s="27"/>
      <c r="AF28" s="27"/>
      <c r="AG28" s="27"/>
      <c r="AH28" s="27"/>
      <c r="AI28" s="27"/>
    </row>
    <row r="29" spans="1:35" s="21" customFormat="1" ht="25.5">
      <c r="A29" s="38" t="s">
        <v>20</v>
      </c>
      <c r="B29" s="18">
        <f>B25-B26</f>
        <v>-63294.605705279995</v>
      </c>
      <c r="C29" s="18"/>
      <c r="D29" s="18">
        <f>D25-D26</f>
        <v>-42039.7936392</v>
      </c>
      <c r="E29" s="18">
        <f aca="true" t="shared" si="14" ref="E29:O29">E25-E26</f>
        <v>-21254.812066079998</v>
      </c>
      <c r="F29" s="18">
        <f t="shared" si="14"/>
        <v>0</v>
      </c>
      <c r="G29" s="18">
        <f t="shared" si="14"/>
        <v>0</v>
      </c>
      <c r="H29" s="18">
        <f t="shared" si="14"/>
        <v>0</v>
      </c>
      <c r="I29" s="18">
        <f t="shared" si="14"/>
        <v>0</v>
      </c>
      <c r="J29" s="18">
        <f>J25-J26</f>
        <v>0</v>
      </c>
      <c r="K29" s="18">
        <f t="shared" si="14"/>
        <v>0</v>
      </c>
      <c r="L29" s="18">
        <f t="shared" si="14"/>
        <v>0</v>
      </c>
      <c r="M29" s="18">
        <f t="shared" si="14"/>
        <v>0</v>
      </c>
      <c r="N29" s="18">
        <f t="shared" si="14"/>
        <v>0</v>
      </c>
      <c r="O29" s="18">
        <f t="shared" si="14"/>
        <v>0</v>
      </c>
      <c r="P29" s="18">
        <f>SUM(D29:O29)</f>
        <v>-63294.605705279995</v>
      </c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</row>
    <row r="30" spans="1:35" s="42" customFormat="1" ht="12.75">
      <c r="A30" s="39" t="s">
        <v>21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1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1"/>
      <c r="AD30" s="41"/>
      <c r="AE30" s="41"/>
      <c r="AF30" s="41"/>
      <c r="AG30" s="41"/>
      <c r="AH30" s="41"/>
      <c r="AI30" s="41"/>
    </row>
    <row r="31" spans="1:35" s="21" customFormat="1" ht="12.75">
      <c r="A31" s="22" t="s">
        <v>22</v>
      </c>
      <c r="B31" s="23"/>
      <c r="C31" s="23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3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35"/>
      <c r="AD31" s="35"/>
      <c r="AE31" s="35"/>
      <c r="AF31" s="35"/>
      <c r="AG31" s="35"/>
      <c r="AH31" s="35"/>
      <c r="AI31" s="35"/>
    </row>
    <row r="32" spans="1:35" s="21" customFormat="1" ht="12.75">
      <c r="A32" s="26" t="s">
        <v>5</v>
      </c>
      <c r="B32" s="27">
        <f>SUM(B33:B34)</f>
        <v>98412.70757550222</v>
      </c>
      <c r="C32" s="27"/>
      <c r="D32" s="27">
        <f>SUM(D33:D34)</f>
        <v>42039.7936392</v>
      </c>
      <c r="E32" s="27">
        <f aca="true" t="shared" si="15" ref="E32:O32">SUM(E33:E34)</f>
        <v>21254.812066079998</v>
      </c>
      <c r="F32" s="27">
        <f t="shared" si="15"/>
        <v>4533.1582937777775</v>
      </c>
      <c r="G32" s="27">
        <f t="shared" si="15"/>
        <v>4533.1582937777775</v>
      </c>
      <c r="H32" s="27">
        <f t="shared" si="15"/>
        <v>4786.962613777778</v>
      </c>
      <c r="I32" s="27">
        <f t="shared" si="15"/>
        <v>4786.962613777778</v>
      </c>
      <c r="J32" s="27">
        <f t="shared" si="15"/>
        <v>4786.962613777778</v>
      </c>
      <c r="K32" s="27">
        <f t="shared" si="15"/>
        <v>4385.946613777778</v>
      </c>
      <c r="L32" s="27">
        <f t="shared" si="15"/>
        <v>4385.946613777778</v>
      </c>
      <c r="M32" s="27">
        <f t="shared" si="15"/>
        <v>2919.0042137777773</v>
      </c>
      <c r="N32" s="27">
        <f t="shared" si="15"/>
        <v>0</v>
      </c>
      <c r="O32" s="27">
        <f t="shared" si="15"/>
        <v>0</v>
      </c>
      <c r="P32" s="27">
        <f aca="true" t="shared" si="16" ref="P32:AD32">SUM(P33:P34)</f>
        <v>98412.70757550222</v>
      </c>
      <c r="Q32" s="27">
        <f t="shared" si="16"/>
        <v>0</v>
      </c>
      <c r="R32" s="27">
        <f t="shared" si="16"/>
        <v>0</v>
      </c>
      <c r="S32" s="27">
        <f t="shared" si="16"/>
        <v>0</v>
      </c>
      <c r="T32" s="27">
        <f t="shared" si="16"/>
        <v>0</v>
      </c>
      <c r="U32" s="27">
        <f t="shared" si="16"/>
        <v>0</v>
      </c>
      <c r="V32" s="27">
        <f t="shared" si="16"/>
        <v>0</v>
      </c>
      <c r="W32" s="27">
        <f t="shared" si="16"/>
        <v>0</v>
      </c>
      <c r="X32" s="27">
        <f t="shared" si="16"/>
        <v>0</v>
      </c>
      <c r="Y32" s="27">
        <f t="shared" si="16"/>
        <v>0</v>
      </c>
      <c r="Z32" s="27">
        <f t="shared" si="16"/>
        <v>0</v>
      </c>
      <c r="AA32" s="27">
        <f t="shared" si="16"/>
        <v>0</v>
      </c>
      <c r="AB32" s="27">
        <f t="shared" si="16"/>
        <v>0</v>
      </c>
      <c r="AC32" s="27">
        <f t="shared" si="16"/>
        <v>0</v>
      </c>
      <c r="AD32" s="27">
        <f t="shared" si="16"/>
        <v>0</v>
      </c>
      <c r="AE32" s="27">
        <f>SUM(AE33:AE34)</f>
        <v>0</v>
      </c>
      <c r="AF32" s="27">
        <f>SUM(AF33:AF34)</f>
        <v>0</v>
      </c>
      <c r="AG32" s="27">
        <f>SUM(AG33:AG34)</f>
        <v>0</v>
      </c>
      <c r="AH32" s="27">
        <f>SUM(AH33:AH34)</f>
        <v>0</v>
      </c>
      <c r="AI32" s="27">
        <f>SUM(AI33:AI34)</f>
        <v>0</v>
      </c>
    </row>
    <row r="33" spans="1:35" ht="12.75" customHeight="1">
      <c r="A33" s="37" t="s">
        <v>54</v>
      </c>
      <c r="B33" s="27">
        <f>P33+AC33+AD33+AE33+AF33+AG33+AH33+AI33</f>
        <v>38355.85951950222</v>
      </c>
      <c r="C33" s="27"/>
      <c r="D33" s="29">
        <f>(-D23-D29)*Исх!$C$8</f>
        <v>0</v>
      </c>
      <c r="E33" s="29">
        <f>E28</f>
        <v>3237.75764928</v>
      </c>
      <c r="F33" s="29">
        <f>F11</f>
        <v>4533.1582937777775</v>
      </c>
      <c r="G33" s="29">
        <f aca="true" t="shared" si="17" ref="G33:M33">G11</f>
        <v>4533.1582937777775</v>
      </c>
      <c r="H33" s="29">
        <f t="shared" si="17"/>
        <v>4786.962613777778</v>
      </c>
      <c r="I33" s="29">
        <f t="shared" si="17"/>
        <v>4786.962613777778</v>
      </c>
      <c r="J33" s="29">
        <f t="shared" si="17"/>
        <v>4786.962613777778</v>
      </c>
      <c r="K33" s="29">
        <f t="shared" si="17"/>
        <v>4385.946613777778</v>
      </c>
      <c r="L33" s="29">
        <f t="shared" si="17"/>
        <v>4385.946613777778</v>
      </c>
      <c r="M33" s="29">
        <f t="shared" si="17"/>
        <v>2919.0042137777773</v>
      </c>
      <c r="N33" s="29"/>
      <c r="O33" s="29"/>
      <c r="P33" s="27">
        <f>SUM(D33:O33)</f>
        <v>38355.85951950222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7">
        <f>SUM(Q33:AB33)</f>
        <v>0</v>
      </c>
      <c r="AD33" s="27"/>
      <c r="AE33" s="27"/>
      <c r="AF33" s="27"/>
      <c r="AG33" s="27"/>
      <c r="AH33" s="27"/>
      <c r="AI33" s="27"/>
    </row>
    <row r="34" spans="1:35" ht="12.75">
      <c r="A34" s="43" t="s">
        <v>163</v>
      </c>
      <c r="B34" s="27">
        <f>P34+AC34+AD34+AE34+AF34+AG34+AH34+AI34</f>
        <v>60056.848055999995</v>
      </c>
      <c r="C34" s="27"/>
      <c r="D34" s="44">
        <f>(-D23-D29)-D33</f>
        <v>42039.7936392</v>
      </c>
      <c r="E34" s="44">
        <f>(-E23-E29)-E33</f>
        <v>18017.054416799998</v>
      </c>
      <c r="F34" s="44"/>
      <c r="G34" s="44"/>
      <c r="H34" s="44"/>
      <c r="I34" s="44"/>
      <c r="J34" s="44">
        <f>Инв!K34</f>
        <v>0</v>
      </c>
      <c r="K34" s="44"/>
      <c r="L34" s="44"/>
      <c r="M34" s="44">
        <f>Инв!N34</f>
        <v>0</v>
      </c>
      <c r="N34" s="44"/>
      <c r="O34" s="44"/>
      <c r="P34" s="27">
        <f>SUM(D34:O34)</f>
        <v>60056.848055999995</v>
      </c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27">
        <f>SUM(Q34:AB34)</f>
        <v>0</v>
      </c>
      <c r="AD34" s="27"/>
      <c r="AE34" s="27"/>
      <c r="AF34" s="27"/>
      <c r="AG34" s="27"/>
      <c r="AH34" s="27"/>
      <c r="AI34" s="27"/>
    </row>
    <row r="35" spans="1:35" s="21" customFormat="1" ht="12.75">
      <c r="A35" s="26" t="s">
        <v>6</v>
      </c>
      <c r="B35" s="27">
        <f>SUM(B36:B37)</f>
        <v>63805.396322162</v>
      </c>
      <c r="C35" s="27"/>
      <c r="D35" s="27">
        <f>SUM(D36:D37)</f>
        <v>0</v>
      </c>
      <c r="E35" s="27">
        <f aca="true" t="shared" si="18" ref="E35:AF35">SUM(E36:E37)</f>
        <v>0</v>
      </c>
      <c r="F35" s="27">
        <f t="shared" si="18"/>
        <v>0</v>
      </c>
      <c r="G35" s="27">
        <f t="shared" si="18"/>
        <v>0</v>
      </c>
      <c r="H35" s="27">
        <f t="shared" si="18"/>
        <v>0</v>
      </c>
      <c r="I35" s="27">
        <f>SUM(I36:I37)</f>
        <v>0</v>
      </c>
      <c r="J35" s="27">
        <f t="shared" si="18"/>
        <v>0</v>
      </c>
      <c r="K35" s="27">
        <f t="shared" si="18"/>
        <v>0</v>
      </c>
      <c r="L35" s="27">
        <f t="shared" si="18"/>
        <v>0</v>
      </c>
      <c r="M35" s="27">
        <f t="shared" si="18"/>
        <v>0</v>
      </c>
      <c r="N35" s="27">
        <f t="shared" si="18"/>
        <v>0</v>
      </c>
      <c r="O35" s="27">
        <f t="shared" si="18"/>
        <v>0</v>
      </c>
      <c r="P35" s="27">
        <f t="shared" si="18"/>
        <v>0</v>
      </c>
      <c r="Q35" s="27">
        <f t="shared" si="18"/>
        <v>886.1860600300276</v>
      </c>
      <c r="R35" s="27">
        <f t="shared" si="18"/>
        <v>886.1860600300276</v>
      </c>
      <c r="S35" s="27">
        <f t="shared" si="18"/>
        <v>886.1860600300276</v>
      </c>
      <c r="T35" s="27">
        <f t="shared" si="18"/>
        <v>886.1860600300276</v>
      </c>
      <c r="U35" s="27">
        <f t="shared" si="18"/>
        <v>886.1860600300276</v>
      </c>
      <c r="V35" s="27">
        <f t="shared" si="18"/>
        <v>886.1860600300276</v>
      </c>
      <c r="W35" s="27">
        <f t="shared" si="18"/>
        <v>886.1860600300276</v>
      </c>
      <c r="X35" s="27">
        <f t="shared" si="18"/>
        <v>886.1860600300276</v>
      </c>
      <c r="Y35" s="27">
        <f t="shared" si="18"/>
        <v>886.1860600300276</v>
      </c>
      <c r="Z35" s="27">
        <f t="shared" si="18"/>
        <v>886.1860600300276</v>
      </c>
      <c r="AA35" s="27">
        <f t="shared" si="18"/>
        <v>886.1860600300276</v>
      </c>
      <c r="AB35" s="27">
        <f t="shared" si="18"/>
        <v>886.1860600300276</v>
      </c>
      <c r="AC35" s="27">
        <f t="shared" si="18"/>
        <v>10634.232720360333</v>
      </c>
      <c r="AD35" s="27">
        <f t="shared" si="18"/>
        <v>10634.232720360333</v>
      </c>
      <c r="AE35" s="27">
        <f t="shared" si="18"/>
        <v>10634.232720360333</v>
      </c>
      <c r="AF35" s="27">
        <f t="shared" si="18"/>
        <v>10634.232720360333</v>
      </c>
      <c r="AG35" s="27">
        <f>SUM(AG36:AG37)</f>
        <v>10634.232720360333</v>
      </c>
      <c r="AH35" s="27">
        <f>SUM(AH36:AH37)</f>
        <v>10634.232720360333</v>
      </c>
      <c r="AI35" s="27">
        <f>SUM(AI36:AI37)</f>
        <v>0</v>
      </c>
    </row>
    <row r="36" spans="1:35" ht="12.75">
      <c r="A36" s="28" t="s">
        <v>30</v>
      </c>
      <c r="B36" s="27">
        <f>P36+AC36+AD36+AE36+AF36+AG36+AH36+AI36</f>
        <v>0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27">
        <f>SUM(D36:O36)</f>
        <v>0</v>
      </c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27">
        <f>SUM(Q36:AB36)</f>
        <v>0</v>
      </c>
      <c r="AD36" s="33"/>
      <c r="AE36" s="27"/>
      <c r="AF36" s="27"/>
      <c r="AG36" s="27"/>
      <c r="AH36" s="27"/>
      <c r="AI36" s="27"/>
    </row>
    <row r="37" spans="1:35" ht="13.5" customHeight="1">
      <c r="A37" s="37" t="s">
        <v>162</v>
      </c>
      <c r="B37" s="27">
        <f>P37+AC37+AD37+AE37+AF37+AG37+AH37+AI37</f>
        <v>63805.396322162</v>
      </c>
      <c r="C37" s="27"/>
      <c r="D37" s="33">
        <f>кр!C10</f>
        <v>0</v>
      </c>
      <c r="E37" s="33">
        <f>кр!D10</f>
        <v>0</v>
      </c>
      <c r="F37" s="33">
        <f>кр!E10</f>
        <v>0</v>
      </c>
      <c r="G37" s="33">
        <f>кр!F10</f>
        <v>0</v>
      </c>
      <c r="H37" s="33">
        <f>кр!G10</f>
        <v>0</v>
      </c>
      <c r="I37" s="33">
        <f>кр!H10</f>
        <v>0</v>
      </c>
      <c r="J37" s="33">
        <f>кр!I10</f>
        <v>0</v>
      </c>
      <c r="K37" s="33">
        <f>кр!J10</f>
        <v>0</v>
      </c>
      <c r="L37" s="33">
        <f>кр!K10</f>
        <v>0</v>
      </c>
      <c r="M37" s="33">
        <f>кр!L10</f>
        <v>0</v>
      </c>
      <c r="N37" s="33">
        <f>кр!M10</f>
        <v>0</v>
      </c>
      <c r="O37" s="33">
        <f>кр!N10</f>
        <v>0</v>
      </c>
      <c r="P37" s="27">
        <f>SUM(D37:O37)</f>
        <v>0</v>
      </c>
      <c r="Q37" s="33">
        <f>кр!P10</f>
        <v>886.1860600300276</v>
      </c>
      <c r="R37" s="33">
        <f>кр!Q10</f>
        <v>886.1860600300276</v>
      </c>
      <c r="S37" s="33">
        <f>кр!R10</f>
        <v>886.1860600300276</v>
      </c>
      <c r="T37" s="33">
        <f>кр!S10</f>
        <v>886.1860600300276</v>
      </c>
      <c r="U37" s="33">
        <f>кр!T10</f>
        <v>886.1860600300276</v>
      </c>
      <c r="V37" s="33">
        <f>кр!U10</f>
        <v>886.1860600300276</v>
      </c>
      <c r="W37" s="33">
        <f>кр!V10</f>
        <v>886.1860600300276</v>
      </c>
      <c r="X37" s="33">
        <f>кр!W10</f>
        <v>886.1860600300276</v>
      </c>
      <c r="Y37" s="33">
        <f>кр!X10</f>
        <v>886.1860600300276</v>
      </c>
      <c r="Z37" s="33">
        <f>кр!Y10</f>
        <v>886.1860600300276</v>
      </c>
      <c r="AA37" s="33">
        <f>кр!Z10</f>
        <v>886.1860600300276</v>
      </c>
      <c r="AB37" s="33">
        <f>кр!AA10</f>
        <v>886.1860600300276</v>
      </c>
      <c r="AC37" s="27">
        <f>SUM(Q37:AB37)</f>
        <v>10634.232720360333</v>
      </c>
      <c r="AD37" s="33">
        <f>кр!AO10</f>
        <v>10634.232720360333</v>
      </c>
      <c r="AE37" s="33">
        <f>кр!BB10</f>
        <v>10634.232720360333</v>
      </c>
      <c r="AF37" s="33">
        <f>кр!BO10</f>
        <v>10634.232720360333</v>
      </c>
      <c r="AG37" s="33">
        <f>кр!CB10</f>
        <v>10634.232720360333</v>
      </c>
      <c r="AH37" s="33">
        <f>кр!CO10</f>
        <v>10634.232720360333</v>
      </c>
      <c r="AI37" s="33">
        <f>кр!DB10</f>
        <v>0</v>
      </c>
    </row>
    <row r="38" spans="1:35" s="21" customFormat="1" ht="25.5">
      <c r="A38" s="38" t="s">
        <v>23</v>
      </c>
      <c r="B38" s="18">
        <f>B32-B35</f>
        <v>34607.31125334022</v>
      </c>
      <c r="C38" s="18"/>
      <c r="D38" s="18">
        <f>D32-D35</f>
        <v>42039.7936392</v>
      </c>
      <c r="E38" s="18">
        <f aca="true" t="shared" si="19" ref="E38:AF38">E32-E35</f>
        <v>21254.812066079998</v>
      </c>
      <c r="F38" s="18">
        <f t="shared" si="19"/>
        <v>4533.1582937777775</v>
      </c>
      <c r="G38" s="18">
        <f t="shared" si="19"/>
        <v>4533.1582937777775</v>
      </c>
      <c r="H38" s="18">
        <f t="shared" si="19"/>
        <v>4786.962613777778</v>
      </c>
      <c r="I38" s="18">
        <f t="shared" si="19"/>
        <v>4786.962613777778</v>
      </c>
      <c r="J38" s="18">
        <f t="shared" si="19"/>
        <v>4786.962613777778</v>
      </c>
      <c r="K38" s="18">
        <f t="shared" si="19"/>
        <v>4385.946613777778</v>
      </c>
      <c r="L38" s="18">
        <f t="shared" si="19"/>
        <v>4385.946613777778</v>
      </c>
      <c r="M38" s="18">
        <f t="shared" si="19"/>
        <v>2919.0042137777773</v>
      </c>
      <c r="N38" s="18">
        <f t="shared" si="19"/>
        <v>0</v>
      </c>
      <c r="O38" s="18">
        <f t="shared" si="19"/>
        <v>0</v>
      </c>
      <c r="P38" s="18">
        <f t="shared" si="19"/>
        <v>98412.70757550222</v>
      </c>
      <c r="Q38" s="18">
        <f t="shared" si="19"/>
        <v>-886.1860600300276</v>
      </c>
      <c r="R38" s="18">
        <f t="shared" si="19"/>
        <v>-886.1860600300276</v>
      </c>
      <c r="S38" s="18">
        <f t="shared" si="19"/>
        <v>-886.1860600300276</v>
      </c>
      <c r="T38" s="18">
        <f t="shared" si="19"/>
        <v>-886.1860600300276</v>
      </c>
      <c r="U38" s="18">
        <f t="shared" si="19"/>
        <v>-886.1860600300276</v>
      </c>
      <c r="V38" s="18">
        <f t="shared" si="19"/>
        <v>-886.1860600300276</v>
      </c>
      <c r="W38" s="18">
        <f t="shared" si="19"/>
        <v>-886.1860600300276</v>
      </c>
      <c r="X38" s="18">
        <f t="shared" si="19"/>
        <v>-886.1860600300276</v>
      </c>
      <c r="Y38" s="18">
        <f t="shared" si="19"/>
        <v>-886.1860600300276</v>
      </c>
      <c r="Z38" s="18">
        <f t="shared" si="19"/>
        <v>-886.1860600300276</v>
      </c>
      <c r="AA38" s="18">
        <f t="shared" si="19"/>
        <v>-886.1860600300276</v>
      </c>
      <c r="AB38" s="18">
        <f t="shared" si="19"/>
        <v>-886.1860600300276</v>
      </c>
      <c r="AC38" s="18">
        <f t="shared" si="19"/>
        <v>-10634.232720360333</v>
      </c>
      <c r="AD38" s="18">
        <f t="shared" si="19"/>
        <v>-10634.232720360333</v>
      </c>
      <c r="AE38" s="18">
        <f t="shared" si="19"/>
        <v>-10634.232720360333</v>
      </c>
      <c r="AF38" s="18">
        <f t="shared" si="19"/>
        <v>-10634.232720360333</v>
      </c>
      <c r="AG38" s="18">
        <f>AG32-AG35</f>
        <v>-10634.232720360333</v>
      </c>
      <c r="AH38" s="18">
        <f>AH32-AH35</f>
        <v>-10634.232720360333</v>
      </c>
      <c r="AI38" s="18">
        <f>AI32-AI35</f>
        <v>0</v>
      </c>
    </row>
    <row r="39" spans="1:35" s="47" customFormat="1" ht="12.75">
      <c r="A39" s="45" t="s">
        <v>24</v>
      </c>
      <c r="B39" s="46">
        <f>B23+B29+B38</f>
        <v>71257.81319028871</v>
      </c>
      <c r="C39" s="27"/>
      <c r="D39" s="46">
        <f>D23+D29+D38</f>
        <v>0</v>
      </c>
      <c r="E39" s="46">
        <f aca="true" t="shared" si="20" ref="E39:AF39">E23+E29+E38</f>
        <v>0</v>
      </c>
      <c r="F39" s="46">
        <f t="shared" si="20"/>
        <v>0</v>
      </c>
      <c r="G39" s="46">
        <f t="shared" si="20"/>
        <v>0</v>
      </c>
      <c r="H39" s="46">
        <f t="shared" si="20"/>
        <v>0</v>
      </c>
      <c r="I39" s="46">
        <f t="shared" si="20"/>
        <v>0</v>
      </c>
      <c r="J39" s="46">
        <f t="shared" si="20"/>
        <v>0</v>
      </c>
      <c r="K39" s="46">
        <f t="shared" si="20"/>
        <v>0</v>
      </c>
      <c r="L39" s="46">
        <f t="shared" si="20"/>
        <v>0</v>
      </c>
      <c r="M39" s="46">
        <f t="shared" si="20"/>
        <v>0</v>
      </c>
      <c r="N39" s="46">
        <f t="shared" si="20"/>
        <v>4132.199176222222</v>
      </c>
      <c r="O39" s="46">
        <f t="shared" si="20"/>
        <v>5335.764616222223</v>
      </c>
      <c r="P39" s="46">
        <f t="shared" si="20"/>
        <v>9467.96379244444</v>
      </c>
      <c r="Q39" s="46">
        <f t="shared" si="20"/>
        <v>4706.147626979582</v>
      </c>
      <c r="R39" s="46">
        <f t="shared" si="20"/>
        <v>4711.317045663091</v>
      </c>
      <c r="S39" s="46">
        <f t="shared" si="20"/>
        <v>350.91309834659955</v>
      </c>
      <c r="T39" s="46">
        <f t="shared" si="20"/>
        <v>356.0825170301089</v>
      </c>
      <c r="U39" s="46">
        <f t="shared" si="20"/>
        <v>107.4476157136171</v>
      </c>
      <c r="V39" s="46">
        <f t="shared" si="20"/>
        <v>112.61703439712551</v>
      </c>
      <c r="W39" s="46">
        <f t="shared" si="20"/>
        <v>117.78645308063392</v>
      </c>
      <c r="X39" s="46">
        <f t="shared" si="20"/>
        <v>-5608.144888235858</v>
      </c>
      <c r="Y39" s="46">
        <f t="shared" si="20"/>
        <v>-5602.97546955235</v>
      </c>
      <c r="Z39" s="46">
        <f t="shared" si="20"/>
        <v>-4130.8636508688405</v>
      </c>
      <c r="AA39" s="46">
        <f t="shared" si="20"/>
        <v>2925.5091578146676</v>
      </c>
      <c r="AB39" s="46">
        <f t="shared" si="20"/>
        <v>4134.244016498176</v>
      </c>
      <c r="AC39" s="46">
        <f>AC23+AC29+AC38</f>
        <v>2180.08055686654</v>
      </c>
      <c r="AD39" s="46">
        <f t="shared" si="20"/>
        <v>6358.46223289177</v>
      </c>
      <c r="AE39" s="46">
        <f t="shared" si="20"/>
        <v>7102.858523316989</v>
      </c>
      <c r="AF39" s="46">
        <f t="shared" si="20"/>
        <v>7847.2548137422145</v>
      </c>
      <c r="AG39" s="46">
        <f>AG23+AG29+AG38</f>
        <v>8591.65110416744</v>
      </c>
      <c r="AH39" s="46">
        <f>AH23+AH29+AH38</f>
        <v>9336.047394592659</v>
      </c>
      <c r="AI39" s="46">
        <f>AI23+AI29+AI38</f>
        <v>20373.494772266655</v>
      </c>
    </row>
    <row r="40" spans="1:43" s="21" customFormat="1" ht="12.75">
      <c r="A40" s="48" t="s">
        <v>53</v>
      </c>
      <c r="B40" s="27">
        <f>B7+B23+B29+B38</f>
        <v>71257.81319028871</v>
      </c>
      <c r="C40" s="49"/>
      <c r="D40" s="50">
        <f aca="true" t="shared" si="21" ref="D40:O40">D7+D23+D29+D38</f>
        <v>0</v>
      </c>
      <c r="E40" s="50">
        <f t="shared" si="21"/>
        <v>0</v>
      </c>
      <c r="F40" s="50">
        <f t="shared" si="21"/>
        <v>0</v>
      </c>
      <c r="G40" s="50">
        <f t="shared" si="21"/>
        <v>0</v>
      </c>
      <c r="H40" s="50">
        <f t="shared" si="21"/>
        <v>0</v>
      </c>
      <c r="I40" s="50">
        <f t="shared" si="21"/>
        <v>0</v>
      </c>
      <c r="J40" s="50">
        <f t="shared" si="21"/>
        <v>0</v>
      </c>
      <c r="K40" s="50">
        <f t="shared" si="21"/>
        <v>0</v>
      </c>
      <c r="L40" s="50">
        <f t="shared" si="21"/>
        <v>0</v>
      </c>
      <c r="M40" s="50">
        <f t="shared" si="21"/>
        <v>0</v>
      </c>
      <c r="N40" s="50">
        <f t="shared" si="21"/>
        <v>4132.199176222222</v>
      </c>
      <c r="O40" s="50">
        <f t="shared" si="21"/>
        <v>9467.963792444445</v>
      </c>
      <c r="P40" s="51">
        <f>O40</f>
        <v>9467.963792444445</v>
      </c>
      <c r="Q40" s="50">
        <f>P40+Q23+Q29+Q38</f>
        <v>14174.111419424027</v>
      </c>
      <c r="R40" s="50">
        <f aca="true" t="shared" si="22" ref="R40:AB40">Q40+R23+R29+R38</f>
        <v>18885.42846508712</v>
      </c>
      <c r="S40" s="50">
        <f t="shared" si="22"/>
        <v>19236.341563433718</v>
      </c>
      <c r="T40" s="50">
        <f t="shared" si="22"/>
        <v>19592.424080463825</v>
      </c>
      <c r="U40" s="50">
        <f t="shared" si="22"/>
        <v>19699.87169617744</v>
      </c>
      <c r="V40" s="50">
        <f t="shared" si="22"/>
        <v>19812.488730574565</v>
      </c>
      <c r="W40" s="50">
        <f t="shared" si="22"/>
        <v>19930.275183655198</v>
      </c>
      <c r="X40" s="50">
        <f t="shared" si="22"/>
        <v>14322.13029541934</v>
      </c>
      <c r="Y40" s="50">
        <f t="shared" si="22"/>
        <v>8719.15482586699</v>
      </c>
      <c r="Z40" s="50">
        <f t="shared" si="22"/>
        <v>4588.2911749981495</v>
      </c>
      <c r="AA40" s="50">
        <f t="shared" si="22"/>
        <v>7513.800332812818</v>
      </c>
      <c r="AB40" s="50">
        <f t="shared" si="22"/>
        <v>11648.044349310994</v>
      </c>
      <c r="AC40" s="50">
        <f>AB40</f>
        <v>11648.044349310994</v>
      </c>
      <c r="AD40" s="50">
        <f aca="true" t="shared" si="23" ref="AD40:AI40">AC40+AD23+AD29+AD38</f>
        <v>18006.50658220276</v>
      </c>
      <c r="AE40" s="50">
        <f t="shared" si="23"/>
        <v>25109.365105519748</v>
      </c>
      <c r="AF40" s="50">
        <f t="shared" si="23"/>
        <v>32956.61991926196</v>
      </c>
      <c r="AG40" s="50">
        <f t="shared" si="23"/>
        <v>41548.2710234294</v>
      </c>
      <c r="AH40" s="50">
        <f t="shared" si="23"/>
        <v>50884.318418022056</v>
      </c>
      <c r="AI40" s="50">
        <f t="shared" si="23"/>
        <v>71257.81319028871</v>
      </c>
      <c r="AJ40" s="7">
        <v>2014</v>
      </c>
      <c r="AK40" s="7">
        <f aca="true" t="shared" si="24" ref="AK40:AN41">AJ40+1</f>
        <v>2015</v>
      </c>
      <c r="AL40" s="7">
        <f t="shared" si="24"/>
        <v>2016</v>
      </c>
      <c r="AM40" s="7">
        <f t="shared" si="24"/>
        <v>2017</v>
      </c>
      <c r="AN40" s="7">
        <f t="shared" si="24"/>
        <v>2018</v>
      </c>
      <c r="AO40" s="7">
        <f aca="true" t="shared" si="25" ref="AO40:AQ41">AN40+1</f>
        <v>2019</v>
      </c>
      <c r="AP40" s="7">
        <f t="shared" si="25"/>
        <v>2020</v>
      </c>
      <c r="AQ40" s="7">
        <f t="shared" si="25"/>
        <v>2021</v>
      </c>
    </row>
    <row r="41" spans="1:43" ht="12.75">
      <c r="A41" s="52"/>
      <c r="B41" s="53">
        <f>AI40</f>
        <v>71257.81319028871</v>
      </c>
      <c r="C41" s="54"/>
      <c r="D41" s="55">
        <f aca="true" t="shared" si="26" ref="D41:O41">D7+D39-D40</f>
        <v>0</v>
      </c>
      <c r="E41" s="55">
        <f t="shared" si="26"/>
        <v>0</v>
      </c>
      <c r="F41" s="55">
        <f t="shared" si="26"/>
        <v>0</v>
      </c>
      <c r="G41" s="55">
        <f t="shared" si="26"/>
        <v>0</v>
      </c>
      <c r="H41" s="55">
        <f t="shared" si="26"/>
        <v>0</v>
      </c>
      <c r="I41" s="55">
        <f t="shared" si="26"/>
        <v>0</v>
      </c>
      <c r="J41" s="55">
        <f t="shared" si="26"/>
        <v>0</v>
      </c>
      <c r="K41" s="55">
        <f t="shared" si="26"/>
        <v>0</v>
      </c>
      <c r="L41" s="55">
        <f t="shared" si="26"/>
        <v>0</v>
      </c>
      <c r="M41" s="55">
        <f t="shared" si="26"/>
        <v>0</v>
      </c>
      <c r="N41" s="55">
        <f t="shared" si="26"/>
        <v>0</v>
      </c>
      <c r="O41" s="55">
        <f t="shared" si="26"/>
        <v>0</v>
      </c>
      <c r="P41" s="55"/>
      <c r="Q41" s="55">
        <f aca="true" t="shared" si="27" ref="Q41:Z41">Q7+Q39-Q40</f>
        <v>0</v>
      </c>
      <c r="R41" s="55">
        <f t="shared" si="27"/>
        <v>0</v>
      </c>
      <c r="S41" s="55">
        <f t="shared" si="27"/>
        <v>0</v>
      </c>
      <c r="T41" s="55">
        <f t="shared" si="27"/>
        <v>0</v>
      </c>
      <c r="U41" s="55">
        <f t="shared" si="27"/>
        <v>0</v>
      </c>
      <c r="V41" s="55">
        <f t="shared" si="27"/>
        <v>0</v>
      </c>
      <c r="W41" s="55">
        <f t="shared" si="27"/>
        <v>0</v>
      </c>
      <c r="X41" s="55">
        <f t="shared" si="27"/>
        <v>0</v>
      </c>
      <c r="Y41" s="55">
        <f t="shared" si="27"/>
        <v>0</v>
      </c>
      <c r="Z41" s="55">
        <f t="shared" si="27"/>
        <v>0</v>
      </c>
      <c r="AA41" s="55"/>
      <c r="AB41" s="55"/>
      <c r="AC41" s="55"/>
      <c r="AD41" s="55">
        <f aca="true" t="shared" si="28" ref="AD41:AI41">AD7+AD39-AD40</f>
        <v>0</v>
      </c>
      <c r="AE41" s="55">
        <f t="shared" si="28"/>
        <v>0</v>
      </c>
      <c r="AF41" s="55">
        <f t="shared" si="28"/>
        <v>0</v>
      </c>
      <c r="AG41" s="55">
        <f t="shared" si="28"/>
        <v>0</v>
      </c>
      <c r="AH41" s="55">
        <f t="shared" si="28"/>
        <v>0</v>
      </c>
      <c r="AI41" s="55">
        <f t="shared" si="28"/>
        <v>0</v>
      </c>
      <c r="AJ41" s="62">
        <v>0</v>
      </c>
      <c r="AK41" s="62">
        <f t="shared" si="24"/>
        <v>1</v>
      </c>
      <c r="AL41" s="62">
        <f t="shared" si="24"/>
        <v>2</v>
      </c>
      <c r="AM41" s="62">
        <f t="shared" si="24"/>
        <v>3</v>
      </c>
      <c r="AN41" s="62">
        <f t="shared" si="24"/>
        <v>4</v>
      </c>
      <c r="AO41" s="62">
        <f t="shared" si="25"/>
        <v>5</v>
      </c>
      <c r="AP41" s="62">
        <f t="shared" si="25"/>
        <v>6</v>
      </c>
      <c r="AQ41" s="62">
        <f t="shared" si="25"/>
        <v>7</v>
      </c>
    </row>
    <row r="42" spans="1:43" ht="12.75">
      <c r="A42" s="52" t="s">
        <v>59</v>
      </c>
      <c r="B42" s="63">
        <f>B40-B41</f>
        <v>0</v>
      </c>
      <c r="C42" s="54"/>
      <c r="Q42" s="57"/>
      <c r="AJ42" s="57">
        <f>P39</f>
        <v>9467.96379244444</v>
      </c>
      <c r="AK42" s="57">
        <f aca="true" t="shared" si="29" ref="AK42:AP42">AC39</f>
        <v>2180.08055686654</v>
      </c>
      <c r="AL42" s="57">
        <f t="shared" si="29"/>
        <v>6358.46223289177</v>
      </c>
      <c r="AM42" s="57">
        <f t="shared" si="29"/>
        <v>7102.858523316989</v>
      </c>
      <c r="AN42" s="57">
        <f t="shared" si="29"/>
        <v>7847.2548137422145</v>
      </c>
      <c r="AO42" s="57">
        <f t="shared" si="29"/>
        <v>8591.65110416744</v>
      </c>
      <c r="AP42" s="57">
        <f t="shared" si="29"/>
        <v>9336.047394592659</v>
      </c>
      <c r="AQ42" s="57">
        <f>AP42+AH37+AH20</f>
        <v>20373.494772266655</v>
      </c>
    </row>
    <row r="43" spans="1:43" ht="12.75">
      <c r="A43" s="52" t="s">
        <v>60</v>
      </c>
      <c r="B43" s="54"/>
      <c r="C43" s="54"/>
      <c r="AJ43" s="57">
        <f>AJ42+P37+P36+P20</f>
        <v>9467.96379244444</v>
      </c>
      <c r="AK43" s="57">
        <f aca="true" t="shared" si="30" ref="AK43:AP43">AK42+AC37+AC36+AC20</f>
        <v>16939.50938666665</v>
      </c>
      <c r="AL43" s="57">
        <f t="shared" si="30"/>
        <v>20373.49477226666</v>
      </c>
      <c r="AM43" s="57">
        <f t="shared" si="30"/>
        <v>20373.494772266655</v>
      </c>
      <c r="AN43" s="57">
        <f t="shared" si="30"/>
        <v>20373.494772266655</v>
      </c>
      <c r="AO43" s="57">
        <f t="shared" si="30"/>
        <v>20373.49477226666</v>
      </c>
      <c r="AP43" s="57">
        <f t="shared" si="30"/>
        <v>20373.494772266655</v>
      </c>
      <c r="AQ43" s="57">
        <f>AQ42+AJ37+AJ36+AJ20</f>
        <v>20373.494772266655</v>
      </c>
    </row>
    <row r="44" spans="1:43" ht="12.75">
      <c r="A44" s="52" t="s">
        <v>61</v>
      </c>
      <c r="B44" s="54"/>
      <c r="C44" s="54"/>
      <c r="V44" s="57"/>
      <c r="AJ44" s="57">
        <f>P32</f>
        <v>98412.70757550222</v>
      </c>
      <c r="AK44" s="57">
        <f>AC32</f>
        <v>0</v>
      </c>
      <c r="AL44" s="57"/>
      <c r="AM44" s="57"/>
      <c r="AN44" s="57"/>
      <c r="AO44" s="57"/>
      <c r="AP44" s="57"/>
      <c r="AQ44" s="57"/>
    </row>
    <row r="45" spans="1:43" ht="12.75">
      <c r="A45" s="64" t="s">
        <v>62</v>
      </c>
      <c r="B45" s="54"/>
      <c r="C45" s="54"/>
      <c r="AJ45" s="65">
        <f aca="true" t="shared" si="31" ref="AJ45:AP45">AJ43-AJ44</f>
        <v>-88944.74378305778</v>
      </c>
      <c r="AK45" s="65">
        <f t="shared" si="31"/>
        <v>16939.50938666665</v>
      </c>
      <c r="AL45" s="65">
        <f t="shared" si="31"/>
        <v>20373.49477226666</v>
      </c>
      <c r="AM45" s="65">
        <f t="shared" si="31"/>
        <v>20373.494772266655</v>
      </c>
      <c r="AN45" s="65">
        <f t="shared" si="31"/>
        <v>20373.494772266655</v>
      </c>
      <c r="AO45" s="65">
        <f t="shared" si="31"/>
        <v>20373.49477226666</v>
      </c>
      <c r="AP45" s="65">
        <f t="shared" si="31"/>
        <v>20373.494772266655</v>
      </c>
      <c r="AQ45" s="65">
        <f>AQ43-AQ44</f>
        <v>20373.494772266655</v>
      </c>
    </row>
    <row r="46" spans="1:43" ht="12.75">
      <c r="A46" s="66" t="s">
        <v>63</v>
      </c>
      <c r="B46" s="54"/>
      <c r="C46" s="54"/>
      <c r="AJ46" s="67">
        <f>AJ45/(1+Исх!$C$7)^'1-Ф3'!AJ41</f>
        <v>-88944.74378305778</v>
      </c>
      <c r="AK46" s="67">
        <f>AK45/(1+Исх!$C$7)^'1-Ф3'!AK41</f>
        <v>15399.553987878771</v>
      </c>
      <c r="AL46" s="67">
        <f>AL45/(1+Исх!$C$7)^'1-Ф3'!AL41</f>
        <v>16837.598985344343</v>
      </c>
      <c r="AM46" s="67">
        <f>AM45/(1+Исх!$C$7)^'1-Ф3'!AM41</f>
        <v>15306.908168494852</v>
      </c>
      <c r="AN46" s="67">
        <f>AN45/(1+Исх!$C$7)^'1-Ф3'!AN41</f>
        <v>13915.371062268048</v>
      </c>
      <c r="AO46" s="67">
        <f>AO45/(1+Исх!$C$7)^'1-Ф3'!AO41</f>
        <v>12650.33732933459</v>
      </c>
      <c r="AP46" s="67">
        <f>AP45/(1+Исх!$C$7)^'1-Ф3'!AP41</f>
        <v>11500.306663031442</v>
      </c>
      <c r="AQ46" s="67">
        <f>AQ45/(1+Исх!$C$7)^'1-Ф3'!AQ41</f>
        <v>10454.82423911949</v>
      </c>
    </row>
    <row r="47" spans="1:43" ht="12.75">
      <c r="A47" s="64" t="s">
        <v>64</v>
      </c>
      <c r="B47" s="54"/>
      <c r="C47" s="54"/>
      <c r="AJ47" s="65">
        <f>AJ45</f>
        <v>-88944.74378305778</v>
      </c>
      <c r="AK47" s="65">
        <f aca="true" t="shared" si="32" ref="AK47:AN48">AJ47+AK45</f>
        <v>-72005.23439639114</v>
      </c>
      <c r="AL47" s="65">
        <f t="shared" si="32"/>
        <v>-51631.739624124486</v>
      </c>
      <c r="AM47" s="65">
        <f t="shared" si="32"/>
        <v>-31258.24485185783</v>
      </c>
      <c r="AN47" s="65">
        <f t="shared" si="32"/>
        <v>-10884.750079591176</v>
      </c>
      <c r="AO47" s="65">
        <f aca="true" t="shared" si="33" ref="AO47:AQ48">AN47+AO45</f>
        <v>9488.744692675482</v>
      </c>
      <c r="AP47" s="65">
        <f t="shared" si="33"/>
        <v>29862.239464942137</v>
      </c>
      <c r="AQ47" s="65">
        <f t="shared" si="33"/>
        <v>50235.73423720879</v>
      </c>
    </row>
    <row r="48" spans="1:43" ht="12.75">
      <c r="A48" s="66" t="s">
        <v>65</v>
      </c>
      <c r="B48" s="54"/>
      <c r="C48" s="54"/>
      <c r="AJ48" s="67">
        <f>AJ46</f>
        <v>-88944.74378305778</v>
      </c>
      <c r="AK48" s="67">
        <f t="shared" si="32"/>
        <v>-73545.18979517902</v>
      </c>
      <c r="AL48" s="67">
        <f t="shared" si="32"/>
        <v>-56707.59080983467</v>
      </c>
      <c r="AM48" s="67">
        <f t="shared" si="32"/>
        <v>-41400.682641339816</v>
      </c>
      <c r="AN48" s="67">
        <f t="shared" si="32"/>
        <v>-27485.311579071767</v>
      </c>
      <c r="AO48" s="67">
        <f t="shared" si="33"/>
        <v>-14834.974249737177</v>
      </c>
      <c r="AP48" s="67">
        <f t="shared" si="33"/>
        <v>-3334.6675867057347</v>
      </c>
      <c r="AQ48" s="67">
        <f t="shared" si="33"/>
        <v>7120.156652413756</v>
      </c>
    </row>
    <row r="49" spans="1:43" ht="12.75">
      <c r="A49" s="52" t="s">
        <v>66</v>
      </c>
      <c r="B49" s="54"/>
      <c r="C49" s="54"/>
      <c r="AJ49" s="57">
        <f>NPV(Исх!$C$7,'1-Ф3'!$AJ43:AJ43)</f>
        <v>8607.239811313126</v>
      </c>
      <c r="AK49" s="57">
        <f>NPV(Исх!$C$7,'1-Ф3'!$AJ43:AK43)</f>
        <v>22606.83434574837</v>
      </c>
      <c r="AL49" s="57">
        <f>NPV(Исх!$C$7,'1-Ф3'!$AJ43:AL43)</f>
        <v>37913.742514243226</v>
      </c>
      <c r="AM49" s="57">
        <f>NPV(Исх!$C$7,'1-Ф3'!$AJ43:AM43)</f>
        <v>51829.11357651128</v>
      </c>
      <c r="AN49" s="57">
        <f>NPV(Исх!$C$7,'1-Ф3'!$AJ43:AN43)</f>
        <v>64479.45090584586</v>
      </c>
      <c r="AO49" s="57">
        <f>NPV(Исх!$C$7,'1-Ф3'!$AJ43:AO43)</f>
        <v>75979.7575688773</v>
      </c>
      <c r="AP49" s="57">
        <f>NPV(Исх!$C$7,'1-Ф3'!$AJ43:AP43)</f>
        <v>86434.5818079968</v>
      </c>
      <c r="AQ49" s="57">
        <f>NPV(Исх!$C$7,'1-Ф3'!$AJ43:AQ43)</f>
        <v>95938.96747992361</v>
      </c>
    </row>
    <row r="50" spans="1:43" ht="12.75">
      <c r="A50" s="52" t="s">
        <v>67</v>
      </c>
      <c r="B50" s="54"/>
      <c r="C50" s="54"/>
      <c r="AJ50" s="57">
        <f>NPV(Исх!$C$7,'1-Ф3'!$AJ44:AJ44)</f>
        <v>89466.0977959111</v>
      </c>
      <c r="AK50" s="57">
        <f>NPV(Исх!$C$7,'1-Ф3'!$AJ44:AK44)</f>
        <v>89466.0977959111</v>
      </c>
      <c r="AL50" s="57">
        <f>NPV(Исх!$C$7,'1-Ф3'!$AJ44:AL44)</f>
        <v>89466.0977959111</v>
      </c>
      <c r="AM50" s="57">
        <f>NPV(Исх!$C$7,'1-Ф3'!$AJ44:AM44)</f>
        <v>89466.0977959111</v>
      </c>
      <c r="AN50" s="57">
        <f>NPV(Исх!$C$7,'1-Ф3'!$AJ44:AN44)</f>
        <v>89466.0977959111</v>
      </c>
      <c r="AO50" s="57">
        <f>NPV(Исх!$C$7,'1-Ф3'!$AJ44:AO44)</f>
        <v>89466.0977959111</v>
      </c>
      <c r="AP50" s="57">
        <f>NPV(Исх!$C$7,'1-Ф3'!$AJ44:AP44)</f>
        <v>89466.0977959111</v>
      </c>
      <c r="AQ50" s="57">
        <f>NPV(Исх!$C$7,'1-Ф3'!$AJ44:AQ44)</f>
        <v>89466.0977959111</v>
      </c>
    </row>
    <row r="51" spans="1:43" ht="12.75">
      <c r="A51" s="52" t="s">
        <v>68</v>
      </c>
      <c r="B51" s="54"/>
      <c r="C51" s="54"/>
      <c r="AJ51" s="57">
        <f aca="true" t="shared" si="34" ref="AJ51:AP51">AJ49-AJ50</f>
        <v>-80858.85798459798</v>
      </c>
      <c r="AK51" s="57">
        <f t="shared" si="34"/>
        <v>-66859.26345016273</v>
      </c>
      <c r="AL51" s="57">
        <f t="shared" si="34"/>
        <v>-51552.35528166788</v>
      </c>
      <c r="AM51" s="57">
        <f t="shared" si="34"/>
        <v>-37636.98421939983</v>
      </c>
      <c r="AN51" s="57">
        <f t="shared" si="34"/>
        <v>-24986.646890065247</v>
      </c>
      <c r="AO51" s="57">
        <f t="shared" si="34"/>
        <v>-13486.340227033797</v>
      </c>
      <c r="AP51" s="57">
        <f t="shared" si="34"/>
        <v>-3031.515987914303</v>
      </c>
      <c r="AQ51" s="57">
        <f>AQ49-AQ50</f>
        <v>6472.869684012505</v>
      </c>
    </row>
    <row r="52" spans="1:43" ht="12.75">
      <c r="A52" s="52" t="s">
        <v>69</v>
      </c>
      <c r="B52" s="54"/>
      <c r="C52" s="54"/>
      <c r="AJ52" s="68">
        <f aca="true" t="shared" si="35" ref="AJ52:AP52">AJ49/AJ50</f>
        <v>0.09620671990129545</v>
      </c>
      <c r="AK52" s="68">
        <f t="shared" si="35"/>
        <v>0.25268604424123636</v>
      </c>
      <c r="AL52" s="68">
        <f t="shared" si="35"/>
        <v>0.4237777599368597</v>
      </c>
      <c r="AM52" s="68">
        <f t="shared" si="35"/>
        <v>0.5793156832965173</v>
      </c>
      <c r="AN52" s="68">
        <f t="shared" si="35"/>
        <v>0.7207137954416604</v>
      </c>
      <c r="AO52" s="68">
        <f t="shared" si="35"/>
        <v>0.849257533755427</v>
      </c>
      <c r="AP52" s="68">
        <f t="shared" si="35"/>
        <v>0.966115477677033</v>
      </c>
      <c r="AQ52" s="68">
        <f>AQ49/AQ50</f>
        <v>1.0723499721512202</v>
      </c>
    </row>
    <row r="53" spans="1:43" ht="12.75">
      <c r="A53" s="52" t="s">
        <v>70</v>
      </c>
      <c r="B53" s="54"/>
      <c r="C53" s="54"/>
      <c r="AG53" s="69" t="str">
        <f>IF(ISERROR(IRR($AJ45:AJ$45))," ",IF(IRR($AJ45:AJ$45)&lt;0," ",IRR($AJ45:AJ$45)))</f>
        <v> </v>
      </c>
      <c r="AH53" s="69"/>
      <c r="AI53" s="69"/>
      <c r="AJ53" s="69" t="str">
        <f>IF(ISERROR(IRR($AJ45:AJ$45))," ",IF(IRR($AJ45:AJ$45)&lt;0," ",IRR($AJ45:AJ$45)))</f>
        <v> </v>
      </c>
      <c r="AK53" s="69" t="str">
        <f>IF(ISERROR(IRR($AJ45:AK$45))," ",IF(IRR($AJ45:AK$45)&lt;0," ",IRR($AJ45:AK$45)))</f>
        <v> </v>
      </c>
      <c r="AL53" s="69" t="str">
        <f>IF(ISERROR(IRR($AJ45:AL$45))," ",IF(IRR($AJ45:AL$45)&lt;0," ",IRR($AJ45:AL$45)))</f>
        <v> </v>
      </c>
      <c r="AM53" s="69" t="str">
        <f>IF(ISERROR(IRR($AJ45:AM$45))," ",IF(IRR($AJ45:AM$45)&lt;0," ",IRR($AJ45:AM$45)))</f>
        <v> </v>
      </c>
      <c r="AN53" s="69" t="str">
        <f>IF(ISERROR(IRR($AJ45:AN$45))," ",IF(IRR($AJ45:AN$45)&lt;0," ",IRR($AJ45:AN$45)))</f>
        <v> </v>
      </c>
      <c r="AO53" s="69">
        <f>IF(ISERROR(IRR($AJ45:AO$45))," ",IF(IRR($AJ45:AO$45)&lt;0," ",IRR($AJ45:AO$45)))</f>
        <v>0.03393301241392055</v>
      </c>
      <c r="AP53" s="69">
        <f>IF(ISERROR(IRR($AJ45:AP$45))," ",IF(IRR($AJ45:AP$45)&lt;0," ",IRR($AJ45:AP$45)))</f>
        <v>0.08741445549149884</v>
      </c>
      <c r="AQ53" s="69">
        <f>IF(ISERROR(IRR($AJ45:AQ$45))," ",IF(IRR($AJ45:AQ$45)&lt;0," ",IRR($AJ45:AQ$45)))</f>
        <v>0.12334509875767852</v>
      </c>
    </row>
    <row r="54" spans="1:3" ht="12.75">
      <c r="A54" s="70" t="s">
        <v>32</v>
      </c>
      <c r="B54" s="58">
        <f>AN41-AN47/AO45</f>
        <v>4.534260331929307</v>
      </c>
      <c r="C54" s="54"/>
    </row>
    <row r="55" spans="1:3" ht="12.75">
      <c r="A55" s="70" t="s">
        <v>27</v>
      </c>
      <c r="B55" s="58">
        <f>AP41-AP48/AQ46</f>
        <v>6.318959698454632</v>
      </c>
      <c r="C55" s="54"/>
    </row>
    <row r="56" spans="1:3" ht="12.75">
      <c r="A56" s="52"/>
      <c r="B56" s="54"/>
      <c r="C56" s="54"/>
    </row>
    <row r="57" spans="1:3" ht="12.75">
      <c r="A57" s="52"/>
      <c r="B57" s="54"/>
      <c r="C57" s="54"/>
    </row>
    <row r="58" spans="1:3" ht="12.75">
      <c r="A58" s="52"/>
      <c r="B58" s="54"/>
      <c r="C58" s="54"/>
    </row>
    <row r="59" spans="1:3" ht="12.75">
      <c r="A59" s="52"/>
      <c r="B59" s="54"/>
      <c r="C59" s="54"/>
    </row>
    <row r="60" spans="1:3" ht="12.75">
      <c r="A60" s="52"/>
      <c r="B60" s="54"/>
      <c r="C60" s="54"/>
    </row>
    <row r="61" spans="1:3" ht="12.75">
      <c r="A61" s="52"/>
      <c r="B61" s="54"/>
      <c r="C61" s="54"/>
    </row>
    <row r="62" spans="1:3" ht="12.75">
      <c r="A62" s="52"/>
      <c r="B62" s="54"/>
      <c r="C62" s="54"/>
    </row>
    <row r="63" spans="1:3" ht="12.75">
      <c r="A63" s="52"/>
      <c r="B63" s="54"/>
      <c r="C63" s="54"/>
    </row>
    <row r="64" spans="1:3" ht="12.75">
      <c r="A64" s="52"/>
      <c r="B64" s="54"/>
      <c r="C64" s="54"/>
    </row>
    <row r="65" spans="1:3" ht="12.75">
      <c r="A65" s="52"/>
      <c r="B65" s="54"/>
      <c r="C65" s="54"/>
    </row>
    <row r="66" spans="1:3" ht="12.75">
      <c r="A66" s="52"/>
      <c r="B66" s="54"/>
      <c r="C66" s="54"/>
    </row>
    <row r="67" spans="1:3" ht="12.75">
      <c r="A67" s="52"/>
      <c r="B67" s="54"/>
      <c r="C67" s="54"/>
    </row>
    <row r="68" spans="1:3" ht="12.75">
      <c r="A68" s="52"/>
      <c r="B68" s="54"/>
      <c r="C68" s="54"/>
    </row>
    <row r="69" spans="1:3" ht="12.75">
      <c r="A69" s="52"/>
      <c r="B69" s="54"/>
      <c r="C69" s="54"/>
    </row>
    <row r="70" spans="1:3" ht="12.75">
      <c r="A70" s="52"/>
      <c r="B70" s="54"/>
      <c r="C70" s="54"/>
    </row>
    <row r="71" spans="1:3" ht="12.75">
      <c r="A71" s="52"/>
      <c r="B71" s="54"/>
      <c r="C71" s="54"/>
    </row>
    <row r="72" spans="1:3" ht="12.75">
      <c r="A72" s="52"/>
      <c r="B72" s="54"/>
      <c r="C72" s="54"/>
    </row>
    <row r="73" spans="1:3" ht="12.75">
      <c r="A73" s="52"/>
      <c r="B73" s="54"/>
      <c r="C73" s="54"/>
    </row>
    <row r="74" spans="1:3" ht="12.75">
      <c r="A74" s="52"/>
      <c r="B74" s="54"/>
      <c r="C74" s="54"/>
    </row>
    <row r="75" spans="1:3" ht="12.75">
      <c r="A75" s="52"/>
      <c r="B75" s="54"/>
      <c r="C75" s="54"/>
    </row>
    <row r="76" spans="1:3" ht="12.75">
      <c r="A76" s="52"/>
      <c r="B76" s="54"/>
      <c r="C76" s="54"/>
    </row>
    <row r="77" spans="1:3" ht="12.75">
      <c r="A77" s="52"/>
      <c r="B77" s="54"/>
      <c r="C77" s="54"/>
    </row>
    <row r="78" spans="1:3" ht="12.75">
      <c r="A78" s="52"/>
      <c r="B78" s="54"/>
      <c r="C78" s="54"/>
    </row>
    <row r="79" spans="1:3" ht="12.75">
      <c r="A79" s="52"/>
      <c r="B79" s="54"/>
      <c r="C79" s="54"/>
    </row>
    <row r="80" spans="1:3" ht="12.75">
      <c r="A80" s="52"/>
      <c r="B80" s="54"/>
      <c r="C80" s="54"/>
    </row>
    <row r="81" spans="1:3" ht="12.75">
      <c r="A81" s="52"/>
      <c r="B81" s="54"/>
      <c r="C81" s="54"/>
    </row>
    <row r="82" spans="1:3" ht="12.75">
      <c r="A82" s="52"/>
      <c r="B82" s="54"/>
      <c r="C82" s="54"/>
    </row>
    <row r="83" spans="1:3" ht="12.75">
      <c r="A83" s="52"/>
      <c r="B83" s="54"/>
      <c r="C83" s="54"/>
    </row>
    <row r="84" spans="1:3" ht="12.75">
      <c r="A84" s="52"/>
      <c r="B84" s="54"/>
      <c r="C84" s="54"/>
    </row>
    <row r="85" spans="1:3" ht="12.75">
      <c r="A85" s="52"/>
      <c r="B85" s="54"/>
      <c r="C85" s="54"/>
    </row>
    <row r="86" spans="1:3" ht="12.75">
      <c r="A86" s="52"/>
      <c r="B86" s="54"/>
      <c r="C86" s="54"/>
    </row>
    <row r="87" spans="1:3" ht="12.75">
      <c r="A87" s="52"/>
      <c r="B87" s="54"/>
      <c r="C87" s="54"/>
    </row>
    <row r="88" spans="1:3" ht="12.75">
      <c r="A88" s="52"/>
      <c r="B88" s="54"/>
      <c r="C88" s="54"/>
    </row>
    <row r="89" spans="1:3" ht="12.75">
      <c r="A89" s="52"/>
      <c r="B89" s="54"/>
      <c r="C89" s="54"/>
    </row>
    <row r="90" spans="1:3" ht="12.75">
      <c r="A90" s="52"/>
      <c r="B90" s="54"/>
      <c r="C90" s="54"/>
    </row>
    <row r="91" spans="1:3" ht="12.75">
      <c r="A91" s="52"/>
      <c r="B91" s="54"/>
      <c r="C91" s="54"/>
    </row>
    <row r="92" spans="1:3" ht="12.75">
      <c r="A92" s="52"/>
      <c r="B92" s="54"/>
      <c r="C92" s="54"/>
    </row>
    <row r="93" spans="1:3" ht="12.75">
      <c r="A93" s="52"/>
      <c r="B93" s="54"/>
      <c r="C93" s="54"/>
    </row>
    <row r="94" spans="1:3" ht="12.75">
      <c r="A94" s="52"/>
      <c r="B94" s="54"/>
      <c r="C94" s="54"/>
    </row>
    <row r="95" spans="1:3" ht="12.75">
      <c r="A95" s="52"/>
      <c r="B95" s="54"/>
      <c r="C95" s="54"/>
    </row>
    <row r="96" spans="1:3" ht="12.75">
      <c r="A96" s="52"/>
      <c r="B96" s="54"/>
      <c r="C96" s="54"/>
    </row>
    <row r="97" spans="1:3" ht="12.75">
      <c r="A97" s="52"/>
      <c r="B97" s="54"/>
      <c r="C97" s="54"/>
    </row>
    <row r="98" spans="1:3" ht="12.75">
      <c r="A98" s="52"/>
      <c r="B98" s="54"/>
      <c r="C98" s="54"/>
    </row>
    <row r="99" spans="1:3" ht="12.75">
      <c r="A99" s="52"/>
      <c r="B99" s="54"/>
      <c r="C99" s="54"/>
    </row>
    <row r="100" spans="1:3" ht="12.75">
      <c r="A100" s="52"/>
      <c r="B100" s="54"/>
      <c r="C100" s="54"/>
    </row>
    <row r="101" spans="1:3" ht="12.75">
      <c r="A101" s="52"/>
      <c r="B101" s="54"/>
      <c r="C101" s="54"/>
    </row>
    <row r="102" spans="1:3" ht="12.75">
      <c r="A102" s="52"/>
      <c r="B102" s="54"/>
      <c r="C102" s="54"/>
    </row>
    <row r="103" spans="1:3" ht="12.75">
      <c r="A103" s="52"/>
      <c r="B103" s="54"/>
      <c r="C103" s="54"/>
    </row>
    <row r="104" spans="1:3" ht="12.75">
      <c r="A104" s="52"/>
      <c r="B104" s="54"/>
      <c r="C104" s="54"/>
    </row>
    <row r="105" spans="1:3" ht="12.75">
      <c r="A105" s="52"/>
      <c r="B105" s="54"/>
      <c r="C105" s="54"/>
    </row>
    <row r="106" spans="1:3" ht="12.75">
      <c r="A106" s="52"/>
      <c r="B106" s="54"/>
      <c r="C106" s="54"/>
    </row>
    <row r="107" spans="1:3" ht="12.75">
      <c r="A107" s="52"/>
      <c r="B107" s="54"/>
      <c r="C107" s="54"/>
    </row>
    <row r="108" spans="1:3" ht="12.75">
      <c r="A108" s="52"/>
      <c r="B108" s="54"/>
      <c r="C108" s="54"/>
    </row>
    <row r="109" spans="1:3" ht="12.75">
      <c r="A109" s="52"/>
      <c r="B109" s="54"/>
      <c r="C109" s="54"/>
    </row>
    <row r="110" spans="1:3" ht="12.75">
      <c r="A110" s="52"/>
      <c r="B110" s="54"/>
      <c r="C110" s="54"/>
    </row>
    <row r="111" spans="1:3" ht="12.75">
      <c r="A111" s="52"/>
      <c r="B111" s="54"/>
      <c r="C111" s="54"/>
    </row>
    <row r="112" spans="1:3" ht="12.75">
      <c r="A112" s="52"/>
      <c r="B112" s="54"/>
      <c r="C112" s="54"/>
    </row>
    <row r="113" spans="1:3" ht="12.75">
      <c r="A113" s="52"/>
      <c r="B113" s="54"/>
      <c r="C113" s="54"/>
    </row>
    <row r="114" spans="1:3" ht="12.75">
      <c r="A114" s="52"/>
      <c r="B114" s="54"/>
      <c r="C114" s="54"/>
    </row>
    <row r="115" spans="1:3" ht="12.75">
      <c r="A115" s="52"/>
      <c r="B115" s="54"/>
      <c r="C115" s="54"/>
    </row>
    <row r="116" spans="1:3" ht="12.75">
      <c r="A116" s="52"/>
      <c r="B116" s="54"/>
      <c r="C116" s="54"/>
    </row>
    <row r="117" spans="1:3" ht="12.75">
      <c r="A117" s="52"/>
      <c r="B117" s="54"/>
      <c r="C117" s="54"/>
    </row>
    <row r="118" spans="1:3" ht="12.75">
      <c r="A118" s="52"/>
      <c r="B118" s="54"/>
      <c r="C118" s="54"/>
    </row>
    <row r="119" spans="1:3" ht="12.75">
      <c r="A119" s="52"/>
      <c r="B119" s="54"/>
      <c r="C119" s="54"/>
    </row>
    <row r="120" spans="1:3" ht="12.75">
      <c r="A120" s="52"/>
      <c r="B120" s="54"/>
      <c r="C120" s="54"/>
    </row>
    <row r="121" spans="1:3" ht="12.75">
      <c r="A121" s="52"/>
      <c r="B121" s="54"/>
      <c r="C121" s="54"/>
    </row>
    <row r="122" spans="1:3" ht="12.75">
      <c r="A122" s="52"/>
      <c r="B122" s="54"/>
      <c r="C122" s="54"/>
    </row>
    <row r="123" spans="1:3" ht="12.75">
      <c r="A123" s="52"/>
      <c r="B123" s="54"/>
      <c r="C123" s="54"/>
    </row>
    <row r="124" spans="1:3" ht="12.75">
      <c r="A124" s="52"/>
      <c r="B124" s="54"/>
      <c r="C124" s="54"/>
    </row>
    <row r="125" spans="1:3" ht="12.75">
      <c r="A125" s="52"/>
      <c r="B125" s="54"/>
      <c r="C125" s="54"/>
    </row>
    <row r="126" spans="1:3" ht="12.75">
      <c r="A126" s="52"/>
      <c r="B126" s="54"/>
      <c r="C126" s="54"/>
    </row>
    <row r="127" spans="1:3" ht="12.75">
      <c r="A127" s="52"/>
      <c r="B127" s="54"/>
      <c r="C127" s="54"/>
    </row>
    <row r="128" spans="1:3" ht="12.75">
      <c r="A128" s="52"/>
      <c r="B128" s="54"/>
      <c r="C128" s="54"/>
    </row>
    <row r="129" spans="1:3" ht="12.75">
      <c r="A129" s="52"/>
      <c r="B129" s="54"/>
      <c r="C129" s="54"/>
    </row>
    <row r="130" spans="1:3" ht="12.75">
      <c r="A130" s="52"/>
      <c r="B130" s="54"/>
      <c r="C130" s="54"/>
    </row>
    <row r="131" spans="1:3" ht="12.75">
      <c r="A131" s="52"/>
      <c r="B131" s="54"/>
      <c r="C131" s="54"/>
    </row>
    <row r="132" spans="1:3" ht="12.75">
      <c r="A132" s="52"/>
      <c r="B132" s="54"/>
      <c r="C132" s="54"/>
    </row>
    <row r="133" spans="1:3" ht="12.75">
      <c r="A133" s="52"/>
      <c r="B133" s="54"/>
      <c r="C133" s="54"/>
    </row>
    <row r="134" spans="1:3" ht="12.75">
      <c r="A134" s="52"/>
      <c r="B134" s="54"/>
      <c r="C134" s="54"/>
    </row>
    <row r="135" spans="1:3" ht="12.75">
      <c r="A135" s="52"/>
      <c r="B135" s="54"/>
      <c r="C135" s="54"/>
    </row>
    <row r="136" spans="1:3" ht="12.75">
      <c r="A136" s="52"/>
      <c r="B136" s="54"/>
      <c r="C136" s="54"/>
    </row>
    <row r="137" spans="1:3" ht="12.75">
      <c r="A137" s="52"/>
      <c r="B137" s="54"/>
      <c r="C137" s="54"/>
    </row>
    <row r="138" spans="1:3" ht="12.75">
      <c r="A138" s="52"/>
      <c r="B138" s="54"/>
      <c r="C138" s="54"/>
    </row>
    <row r="139" spans="1:3" ht="12.75">
      <c r="A139" s="52"/>
      <c r="B139" s="54"/>
      <c r="C139" s="54"/>
    </row>
    <row r="140" spans="1:3" ht="12.75">
      <c r="A140" s="52"/>
      <c r="B140" s="54"/>
      <c r="C140" s="54"/>
    </row>
    <row r="141" spans="1:3" ht="12.75">
      <c r="A141" s="52"/>
      <c r="B141" s="54"/>
      <c r="C141" s="54"/>
    </row>
    <row r="142" spans="1:3" ht="12.75">
      <c r="A142" s="52"/>
      <c r="B142" s="54"/>
      <c r="C142" s="54"/>
    </row>
    <row r="143" spans="1:3" ht="12.75">
      <c r="A143" s="52"/>
      <c r="B143" s="54"/>
      <c r="C143" s="54"/>
    </row>
    <row r="144" spans="1:3" ht="12.75">
      <c r="A144" s="52"/>
      <c r="B144" s="54"/>
      <c r="C144" s="54"/>
    </row>
    <row r="145" spans="1:3" ht="12.75">
      <c r="A145" s="52"/>
      <c r="B145" s="54"/>
      <c r="C145" s="54"/>
    </row>
    <row r="146" spans="1:3" ht="12.75">
      <c r="A146" s="52"/>
      <c r="B146" s="54"/>
      <c r="C146" s="54"/>
    </row>
    <row r="147" spans="1:3" ht="12.75">
      <c r="A147" s="52"/>
      <c r="B147" s="54"/>
      <c r="C147" s="54"/>
    </row>
  </sheetData>
  <sheetProtection/>
  <mergeCells count="4">
    <mergeCell ref="A5:A6"/>
    <mergeCell ref="B5:B6"/>
    <mergeCell ref="D5:P5"/>
    <mergeCell ref="Q5:AC5"/>
  </mergeCells>
  <printOptions/>
  <pageMargins left="0.4330708661417323" right="0.2755905511811024" top="0.49" bottom="0.24" header="0.35" footer="0.2"/>
  <pageSetup horizontalDpi="600" verticalDpi="600" orientation="landscape" paperSize="9" r:id="rId1"/>
  <headerFooter alignWithMargins="0">
    <oddHeader>&amp;RПриложение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2:DC17"/>
  <sheetViews>
    <sheetView showGridLines="0" zoomScalePageLayoutView="0" workbookViewId="0" topLeftCell="A1">
      <pane xSplit="2" ySplit="6" topLeftCell="O7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CB21" sqref="CB21"/>
    </sheetView>
  </sheetViews>
  <sheetFormatPr defaultColWidth="9.00390625" defaultRowHeight="12.75" outlineLevelRow="1" outlineLevelCol="1"/>
  <cols>
    <col min="1" max="1" width="23.25390625" style="172" customWidth="1"/>
    <col min="2" max="2" width="12.125" style="172" customWidth="1"/>
    <col min="3" max="14" width="9.125" style="172" hidden="1" customWidth="1" outlineLevel="1"/>
    <col min="15" max="15" width="10.125" style="173" bestFit="1" customWidth="1" collapsed="1"/>
    <col min="16" max="27" width="9.125" style="172" hidden="1" customWidth="1" outlineLevel="1"/>
    <col min="28" max="28" width="10.125" style="173" bestFit="1" customWidth="1" collapsed="1"/>
    <col min="29" max="40" width="9.125" style="172" hidden="1" customWidth="1" outlineLevel="1"/>
    <col min="41" max="41" width="10.125" style="173" bestFit="1" customWidth="1" collapsed="1"/>
    <col min="42" max="47" width="9.125" style="172" hidden="1" customWidth="1" outlineLevel="1"/>
    <col min="48" max="48" width="9.25390625" style="172" hidden="1" customWidth="1" outlineLevel="1"/>
    <col min="49" max="53" width="8.75390625" style="172" hidden="1" customWidth="1" outlineLevel="1"/>
    <col min="54" max="54" width="10.125" style="173" bestFit="1" customWidth="1" collapsed="1"/>
    <col min="55" max="66" width="8.75390625" style="172" hidden="1" customWidth="1" outlineLevel="1"/>
    <col min="67" max="67" width="10.125" style="173" bestFit="1" customWidth="1" collapsed="1"/>
    <col min="68" max="79" width="8.75390625" style="172" hidden="1" customWidth="1" outlineLevel="1"/>
    <col min="80" max="80" width="10.125" style="173" bestFit="1" customWidth="1" collapsed="1"/>
    <col min="81" max="92" width="8.75390625" style="172" hidden="1" customWidth="1" outlineLevel="1"/>
    <col min="93" max="93" width="10.125" style="173" bestFit="1" customWidth="1" collapsed="1"/>
    <col min="94" max="105" width="8.75390625" style="172" hidden="1" customWidth="1" outlineLevel="1"/>
    <col min="106" max="106" width="10.125" style="173" bestFit="1" customWidth="1" collapsed="1"/>
    <col min="107" max="16384" width="9.125" style="172" customWidth="1"/>
  </cols>
  <sheetData>
    <row r="1" ht="9.75" customHeight="1"/>
    <row r="2" spans="1:15" ht="18.75" customHeight="1">
      <c r="A2" s="173" t="s">
        <v>98</v>
      </c>
      <c r="B2" s="174"/>
      <c r="D2" s="175"/>
      <c r="E2" s="175"/>
      <c r="F2" s="176"/>
      <c r="G2" s="175"/>
      <c r="O2" s="177"/>
    </row>
    <row r="3" spans="1:15" ht="13.5" customHeight="1">
      <c r="A3" s="178"/>
      <c r="B3" s="174"/>
      <c r="D3" s="175"/>
      <c r="E3" s="175"/>
      <c r="F3" s="176"/>
      <c r="G3" s="175"/>
      <c r="O3" s="177"/>
    </row>
    <row r="4" spans="1:2" ht="12.75">
      <c r="A4" s="179"/>
      <c r="B4" s="180"/>
    </row>
    <row r="5" spans="1:106" ht="15.75" customHeight="1">
      <c r="A5" s="181" t="s">
        <v>10</v>
      </c>
      <c r="B5" s="182">
        <f>Исх!C41</f>
        <v>0.07</v>
      </c>
      <c r="C5" s="336">
        <v>2014</v>
      </c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>
        <v>2015</v>
      </c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>
        <v>2016</v>
      </c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>
        <v>2017</v>
      </c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6">
        <v>2018</v>
      </c>
      <c r="BD5" s="336"/>
      <c r="BE5" s="336"/>
      <c r="BF5" s="336"/>
      <c r="BG5" s="336"/>
      <c r="BH5" s="336"/>
      <c r="BI5" s="336"/>
      <c r="BJ5" s="336"/>
      <c r="BK5" s="336"/>
      <c r="BL5" s="336"/>
      <c r="BM5" s="336"/>
      <c r="BN5" s="336"/>
      <c r="BO5" s="336"/>
      <c r="BP5" s="336">
        <v>2019</v>
      </c>
      <c r="BQ5" s="336"/>
      <c r="BR5" s="336"/>
      <c r="BS5" s="336"/>
      <c r="BT5" s="336"/>
      <c r="BU5" s="336"/>
      <c r="BV5" s="336"/>
      <c r="BW5" s="336"/>
      <c r="BX5" s="336"/>
      <c r="BY5" s="336"/>
      <c r="BZ5" s="336"/>
      <c r="CA5" s="336"/>
      <c r="CB5" s="336"/>
      <c r="CC5" s="336">
        <v>2020</v>
      </c>
      <c r="CD5" s="336"/>
      <c r="CE5" s="336"/>
      <c r="CF5" s="336"/>
      <c r="CG5" s="336"/>
      <c r="CH5" s="336"/>
      <c r="CI5" s="336"/>
      <c r="CJ5" s="336"/>
      <c r="CK5" s="336"/>
      <c r="CL5" s="336"/>
      <c r="CM5" s="336"/>
      <c r="CN5" s="336"/>
      <c r="CO5" s="336"/>
      <c r="CP5" s="336">
        <v>2021</v>
      </c>
      <c r="CQ5" s="336"/>
      <c r="CR5" s="336"/>
      <c r="CS5" s="336"/>
      <c r="CT5" s="336"/>
      <c r="CU5" s="336"/>
      <c r="CV5" s="336"/>
      <c r="CW5" s="336"/>
      <c r="CX5" s="336"/>
      <c r="CY5" s="336"/>
      <c r="CZ5" s="336"/>
      <c r="DA5" s="336"/>
      <c r="DB5" s="336"/>
    </row>
    <row r="6" spans="1:106" s="187" customFormat="1" ht="15" customHeight="1">
      <c r="A6" s="183" t="s">
        <v>8</v>
      </c>
      <c r="B6" s="184" t="s">
        <v>86</v>
      </c>
      <c r="C6" s="185">
        <v>1</v>
      </c>
      <c r="D6" s="185">
        <v>2</v>
      </c>
      <c r="E6" s="185">
        <f>D6+1</f>
        <v>3</v>
      </c>
      <c r="F6" s="185">
        <f aca="true" t="shared" si="0" ref="F6:N6">E6+1</f>
        <v>4</v>
      </c>
      <c r="G6" s="185">
        <f t="shared" si="0"/>
        <v>5</v>
      </c>
      <c r="H6" s="185">
        <f t="shared" si="0"/>
        <v>6</v>
      </c>
      <c r="I6" s="185">
        <f t="shared" si="0"/>
        <v>7</v>
      </c>
      <c r="J6" s="185">
        <f t="shared" si="0"/>
        <v>8</v>
      </c>
      <c r="K6" s="185">
        <f t="shared" si="0"/>
        <v>9</v>
      </c>
      <c r="L6" s="185">
        <f t="shared" si="0"/>
        <v>10</v>
      </c>
      <c r="M6" s="185">
        <f t="shared" si="0"/>
        <v>11</v>
      </c>
      <c r="N6" s="185">
        <f t="shared" si="0"/>
        <v>12</v>
      </c>
      <c r="O6" s="186" t="s">
        <v>0</v>
      </c>
      <c r="P6" s="185">
        <v>1</v>
      </c>
      <c r="Q6" s="185">
        <v>2</v>
      </c>
      <c r="R6" s="185">
        <f>Q6+1</f>
        <v>3</v>
      </c>
      <c r="S6" s="185">
        <f aca="true" t="shared" si="1" ref="S6:AA6">R6+1</f>
        <v>4</v>
      </c>
      <c r="T6" s="185">
        <f t="shared" si="1"/>
        <v>5</v>
      </c>
      <c r="U6" s="185">
        <f t="shared" si="1"/>
        <v>6</v>
      </c>
      <c r="V6" s="185">
        <f t="shared" si="1"/>
        <v>7</v>
      </c>
      <c r="W6" s="185">
        <f t="shared" si="1"/>
        <v>8</v>
      </c>
      <c r="X6" s="185">
        <f t="shared" si="1"/>
        <v>9</v>
      </c>
      <c r="Y6" s="185">
        <f t="shared" si="1"/>
        <v>10</v>
      </c>
      <c r="Z6" s="185">
        <f t="shared" si="1"/>
        <v>11</v>
      </c>
      <c r="AA6" s="185">
        <f t="shared" si="1"/>
        <v>12</v>
      </c>
      <c r="AB6" s="186" t="s">
        <v>0</v>
      </c>
      <c r="AC6" s="185">
        <v>1</v>
      </c>
      <c r="AD6" s="185">
        <v>2</v>
      </c>
      <c r="AE6" s="185">
        <f aca="true" t="shared" si="2" ref="AE6:BN6">AD6+1</f>
        <v>3</v>
      </c>
      <c r="AF6" s="185">
        <f t="shared" si="2"/>
        <v>4</v>
      </c>
      <c r="AG6" s="185">
        <f t="shared" si="2"/>
        <v>5</v>
      </c>
      <c r="AH6" s="185">
        <f t="shared" si="2"/>
        <v>6</v>
      </c>
      <c r="AI6" s="185">
        <f t="shared" si="2"/>
        <v>7</v>
      </c>
      <c r="AJ6" s="185">
        <f t="shared" si="2"/>
        <v>8</v>
      </c>
      <c r="AK6" s="185">
        <f t="shared" si="2"/>
        <v>9</v>
      </c>
      <c r="AL6" s="185">
        <f t="shared" si="2"/>
        <v>10</v>
      </c>
      <c r="AM6" s="185">
        <f t="shared" si="2"/>
        <v>11</v>
      </c>
      <c r="AN6" s="185">
        <f t="shared" si="2"/>
        <v>12</v>
      </c>
      <c r="AO6" s="186" t="s">
        <v>0</v>
      </c>
      <c r="AP6" s="185">
        <v>1</v>
      </c>
      <c r="AQ6" s="185">
        <v>2</v>
      </c>
      <c r="AR6" s="185">
        <f>AQ6+1</f>
        <v>3</v>
      </c>
      <c r="AS6" s="185">
        <f t="shared" si="2"/>
        <v>4</v>
      </c>
      <c r="AT6" s="185">
        <f t="shared" si="2"/>
        <v>5</v>
      </c>
      <c r="AU6" s="185">
        <f t="shared" si="2"/>
        <v>6</v>
      </c>
      <c r="AV6" s="185">
        <f t="shared" si="2"/>
        <v>7</v>
      </c>
      <c r="AW6" s="185">
        <f t="shared" si="2"/>
        <v>8</v>
      </c>
      <c r="AX6" s="185">
        <f t="shared" si="2"/>
        <v>9</v>
      </c>
      <c r="AY6" s="185">
        <f t="shared" si="2"/>
        <v>10</v>
      </c>
      <c r="AZ6" s="185">
        <f t="shared" si="2"/>
        <v>11</v>
      </c>
      <c r="BA6" s="185">
        <f t="shared" si="2"/>
        <v>12</v>
      </c>
      <c r="BB6" s="186" t="s">
        <v>0</v>
      </c>
      <c r="BC6" s="185">
        <v>1</v>
      </c>
      <c r="BD6" s="185">
        <v>2</v>
      </c>
      <c r="BE6" s="185">
        <f>BD6+1</f>
        <v>3</v>
      </c>
      <c r="BF6" s="185">
        <f t="shared" si="2"/>
        <v>4</v>
      </c>
      <c r="BG6" s="185">
        <f t="shared" si="2"/>
        <v>5</v>
      </c>
      <c r="BH6" s="185">
        <f t="shared" si="2"/>
        <v>6</v>
      </c>
      <c r="BI6" s="185">
        <f t="shared" si="2"/>
        <v>7</v>
      </c>
      <c r="BJ6" s="185">
        <f t="shared" si="2"/>
        <v>8</v>
      </c>
      <c r="BK6" s="185">
        <f t="shared" si="2"/>
        <v>9</v>
      </c>
      <c r="BL6" s="185">
        <f t="shared" si="2"/>
        <v>10</v>
      </c>
      <c r="BM6" s="185">
        <f t="shared" si="2"/>
        <v>11</v>
      </c>
      <c r="BN6" s="185">
        <f t="shared" si="2"/>
        <v>12</v>
      </c>
      <c r="BO6" s="186" t="s">
        <v>0</v>
      </c>
      <c r="BP6" s="185">
        <v>1</v>
      </c>
      <c r="BQ6" s="185">
        <v>2</v>
      </c>
      <c r="BR6" s="185">
        <f aca="true" t="shared" si="3" ref="BR6:CA6">BQ6+1</f>
        <v>3</v>
      </c>
      <c r="BS6" s="185">
        <f t="shared" si="3"/>
        <v>4</v>
      </c>
      <c r="BT6" s="185">
        <f t="shared" si="3"/>
        <v>5</v>
      </c>
      <c r="BU6" s="185">
        <f t="shared" si="3"/>
        <v>6</v>
      </c>
      <c r="BV6" s="185">
        <f t="shared" si="3"/>
        <v>7</v>
      </c>
      <c r="BW6" s="185">
        <f t="shared" si="3"/>
        <v>8</v>
      </c>
      <c r="BX6" s="185">
        <f t="shared" si="3"/>
        <v>9</v>
      </c>
      <c r="BY6" s="185">
        <f t="shared" si="3"/>
        <v>10</v>
      </c>
      <c r="BZ6" s="185">
        <f t="shared" si="3"/>
        <v>11</v>
      </c>
      <c r="CA6" s="185">
        <f t="shared" si="3"/>
        <v>12</v>
      </c>
      <c r="CB6" s="186" t="s">
        <v>0</v>
      </c>
      <c r="CC6" s="185">
        <v>1</v>
      </c>
      <c r="CD6" s="185">
        <v>2</v>
      </c>
      <c r="CE6" s="185">
        <f aca="true" t="shared" si="4" ref="CE6:CN6">CD6+1</f>
        <v>3</v>
      </c>
      <c r="CF6" s="185">
        <f t="shared" si="4"/>
        <v>4</v>
      </c>
      <c r="CG6" s="185">
        <f t="shared" si="4"/>
        <v>5</v>
      </c>
      <c r="CH6" s="185">
        <f t="shared" si="4"/>
        <v>6</v>
      </c>
      <c r="CI6" s="185">
        <f t="shared" si="4"/>
        <v>7</v>
      </c>
      <c r="CJ6" s="185">
        <f t="shared" si="4"/>
        <v>8</v>
      </c>
      <c r="CK6" s="185">
        <f t="shared" si="4"/>
        <v>9</v>
      </c>
      <c r="CL6" s="185">
        <f t="shared" si="4"/>
        <v>10</v>
      </c>
      <c r="CM6" s="185">
        <f t="shared" si="4"/>
        <v>11</v>
      </c>
      <c r="CN6" s="185">
        <f t="shared" si="4"/>
        <v>12</v>
      </c>
      <c r="CO6" s="186" t="s">
        <v>0</v>
      </c>
      <c r="CP6" s="185">
        <v>1</v>
      </c>
      <c r="CQ6" s="185">
        <v>2</v>
      </c>
      <c r="CR6" s="185">
        <f aca="true" t="shared" si="5" ref="CR6:DA6">CQ6+1</f>
        <v>3</v>
      </c>
      <c r="CS6" s="185">
        <f t="shared" si="5"/>
        <v>4</v>
      </c>
      <c r="CT6" s="185">
        <f t="shared" si="5"/>
        <v>5</v>
      </c>
      <c r="CU6" s="185">
        <f t="shared" si="5"/>
        <v>6</v>
      </c>
      <c r="CV6" s="185">
        <f t="shared" si="5"/>
        <v>7</v>
      </c>
      <c r="CW6" s="185">
        <f t="shared" si="5"/>
        <v>8</v>
      </c>
      <c r="CX6" s="185">
        <f t="shared" si="5"/>
        <v>9</v>
      </c>
      <c r="CY6" s="185">
        <f t="shared" si="5"/>
        <v>10</v>
      </c>
      <c r="CZ6" s="185">
        <f t="shared" si="5"/>
        <v>11</v>
      </c>
      <c r="DA6" s="185">
        <f t="shared" si="5"/>
        <v>12</v>
      </c>
      <c r="DB6" s="186" t="s">
        <v>0</v>
      </c>
    </row>
    <row r="7" spans="1:107" ht="12.75">
      <c r="A7" s="183" t="s">
        <v>106</v>
      </c>
      <c r="B7" s="188">
        <f>O7+AB7+AO7+BB7+BO7+CB7+CO7+DB7</f>
        <v>60056.848055999995</v>
      </c>
      <c r="C7" s="189">
        <f>'1-Ф3'!D34</f>
        <v>42039.7936392</v>
      </c>
      <c r="D7" s="189">
        <f>'1-Ф3'!E34</f>
        <v>18017.054416799998</v>
      </c>
      <c r="E7" s="189">
        <f>'1-Ф3'!F34</f>
        <v>0</v>
      </c>
      <c r="F7" s="189"/>
      <c r="G7" s="189"/>
      <c r="H7" s="189"/>
      <c r="I7" s="189"/>
      <c r="J7" s="189"/>
      <c r="K7" s="189"/>
      <c r="L7" s="189"/>
      <c r="M7" s="189"/>
      <c r="N7" s="189"/>
      <c r="O7" s="190">
        <f>SUM(C7:N7)</f>
        <v>60056.848055999995</v>
      </c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>
        <f>SUM(P7:AA7)</f>
        <v>0</v>
      </c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91"/>
    </row>
    <row r="8" spans="1:106" s="192" customFormat="1" ht="20.25" customHeight="1">
      <c r="A8" s="183" t="s">
        <v>29</v>
      </c>
      <c r="B8" s="188">
        <f>O8+AB8+AO8+BB8+BO8+CB8+CO8+DB8</f>
        <v>3748.5482661620003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>
        <f>SUM(C9:N9)</f>
        <v>3748.5482661620003</v>
      </c>
      <c r="O8" s="190">
        <f>SUM(C8:N8)</f>
        <v>3748.5482661620003</v>
      </c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90">
        <f>SUM(P8:AA8)</f>
        <v>0</v>
      </c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90">
        <f>SUM(AC8:AN8)</f>
        <v>0</v>
      </c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90">
        <f>SUM(AP8:BA8)</f>
        <v>0</v>
      </c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90">
        <f>SUM(BC8:BN8)</f>
        <v>0</v>
      </c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90">
        <f>SUM(BP8:CA8)</f>
        <v>0</v>
      </c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90">
        <f>SUM(CC8:CN8)</f>
        <v>0</v>
      </c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90">
        <f>SUM(CP8:DA8)</f>
        <v>0</v>
      </c>
    </row>
    <row r="9" spans="1:106" s="192" customFormat="1" ht="12.75">
      <c r="A9" s="193" t="s">
        <v>11</v>
      </c>
      <c r="B9" s="188">
        <f>O9+AB9+AO9+BB9+BO9+CB9+CO9+DB9</f>
        <v>17333.780566422323</v>
      </c>
      <c r="C9" s="189"/>
      <c r="D9" s="189">
        <f>C12*$B$5/12</f>
        <v>245.23212956199998</v>
      </c>
      <c r="E9" s="189">
        <f>D12*$B$5/12</f>
        <v>350.33161365999996</v>
      </c>
      <c r="F9" s="189">
        <f>E12*$B$5/12</f>
        <v>350.33161365999996</v>
      </c>
      <c r="G9" s="189">
        <f>F12*$B$5/12</f>
        <v>350.33161365999996</v>
      </c>
      <c r="H9" s="189">
        <f>G12*$B$5/12</f>
        <v>350.33161365999996</v>
      </c>
      <c r="I9" s="189">
        <f aca="true" t="shared" si="6" ref="I9:AA9">H12*$B$5/12</f>
        <v>350.33161365999996</v>
      </c>
      <c r="J9" s="189">
        <f t="shared" si="6"/>
        <v>350.33161365999996</v>
      </c>
      <c r="K9" s="189">
        <f t="shared" si="6"/>
        <v>350.33161365999996</v>
      </c>
      <c r="L9" s="189">
        <f>K12*$B$5/12</f>
        <v>350.33161365999996</v>
      </c>
      <c r="M9" s="189">
        <f t="shared" si="6"/>
        <v>350.33161365999996</v>
      </c>
      <c r="N9" s="189">
        <f t="shared" si="6"/>
        <v>350.33161365999996</v>
      </c>
      <c r="O9" s="190">
        <f>SUM(C9:N9)</f>
        <v>3748.5482661620003</v>
      </c>
      <c r="P9" s="189">
        <f t="shared" si="6"/>
        <v>372.1981452126117</v>
      </c>
      <c r="Q9" s="189">
        <f t="shared" si="6"/>
        <v>367.02872652910315</v>
      </c>
      <c r="R9" s="189">
        <f t="shared" si="6"/>
        <v>361.8593078455947</v>
      </c>
      <c r="S9" s="189">
        <f t="shared" si="6"/>
        <v>356.6898891620862</v>
      </c>
      <c r="T9" s="189">
        <f t="shared" si="6"/>
        <v>351.52047047857764</v>
      </c>
      <c r="U9" s="189">
        <f t="shared" si="6"/>
        <v>346.35105179506917</v>
      </c>
      <c r="V9" s="189">
        <f t="shared" si="6"/>
        <v>341.18163311156064</v>
      </c>
      <c r="W9" s="189">
        <f t="shared" si="6"/>
        <v>336.0122144280522</v>
      </c>
      <c r="X9" s="189">
        <f t="shared" si="6"/>
        <v>330.8427957445437</v>
      </c>
      <c r="Y9" s="189">
        <f t="shared" si="6"/>
        <v>325.6733770610352</v>
      </c>
      <c r="Z9" s="189">
        <f t="shared" si="6"/>
        <v>320.50395837752666</v>
      </c>
      <c r="AA9" s="189">
        <f t="shared" si="6"/>
        <v>315.3345396940182</v>
      </c>
      <c r="AB9" s="190">
        <f>SUM(P9:AA9)</f>
        <v>4125.196109439779</v>
      </c>
      <c r="AC9" s="189">
        <f aca="true" t="shared" si="7" ref="AC9:AN9">AB12*$B$5/12</f>
        <v>310.1651210105097</v>
      </c>
      <c r="AD9" s="189">
        <f t="shared" si="7"/>
        <v>304.9957023270012</v>
      </c>
      <c r="AE9" s="189">
        <f t="shared" si="7"/>
        <v>299.8262836434927</v>
      </c>
      <c r="AF9" s="189">
        <f t="shared" si="7"/>
        <v>294.6568649599842</v>
      </c>
      <c r="AG9" s="189">
        <f t="shared" si="7"/>
        <v>289.48744627647574</v>
      </c>
      <c r="AH9" s="189">
        <f t="shared" si="7"/>
        <v>284.3180275929672</v>
      </c>
      <c r="AI9" s="189">
        <f t="shared" si="7"/>
        <v>279.1486089094587</v>
      </c>
      <c r="AJ9" s="189">
        <f t="shared" si="7"/>
        <v>273.9791902259502</v>
      </c>
      <c r="AK9" s="189">
        <f t="shared" si="7"/>
        <v>268.80977154244175</v>
      </c>
      <c r="AL9" s="189">
        <f t="shared" si="7"/>
        <v>263.6403528589332</v>
      </c>
      <c r="AM9" s="189">
        <f t="shared" si="7"/>
        <v>258.4709341754247</v>
      </c>
      <c r="AN9" s="189">
        <f t="shared" si="7"/>
        <v>253.30151549191623</v>
      </c>
      <c r="AO9" s="190">
        <f>SUM(AC9:AN9)</f>
        <v>3380.7998190145554</v>
      </c>
      <c r="AP9" s="189">
        <f aca="true" t="shared" si="8" ref="AP9:BA9">AO12*$B$5/12</f>
        <v>248.13209680840774</v>
      </c>
      <c r="AQ9" s="189">
        <f t="shared" si="8"/>
        <v>242.96267812489927</v>
      </c>
      <c r="AR9" s="189">
        <f t="shared" si="8"/>
        <v>237.79325944139075</v>
      </c>
      <c r="AS9" s="189">
        <f t="shared" si="8"/>
        <v>232.62384075788225</v>
      </c>
      <c r="AT9" s="189">
        <f t="shared" si="8"/>
        <v>227.45442207437375</v>
      </c>
      <c r="AU9" s="189">
        <f t="shared" si="8"/>
        <v>222.28500339086528</v>
      </c>
      <c r="AV9" s="189">
        <f t="shared" si="8"/>
        <v>217.11558470735676</v>
      </c>
      <c r="AW9" s="189">
        <f t="shared" si="8"/>
        <v>211.94616602384826</v>
      </c>
      <c r="AX9" s="189">
        <f t="shared" si="8"/>
        <v>206.77674734033977</v>
      </c>
      <c r="AY9" s="189">
        <f t="shared" si="8"/>
        <v>201.6073286568313</v>
      </c>
      <c r="AZ9" s="189">
        <f t="shared" si="8"/>
        <v>196.43790997332277</v>
      </c>
      <c r="BA9" s="189">
        <f t="shared" si="8"/>
        <v>191.26849128981428</v>
      </c>
      <c r="BB9" s="190">
        <f>SUM(AP9:BA9)</f>
        <v>2636.4035285893324</v>
      </c>
      <c r="BC9" s="189">
        <f aca="true" t="shared" si="9" ref="BC9:BN9">BB12*$B$5/12</f>
        <v>186.09907260630578</v>
      </c>
      <c r="BD9" s="189">
        <f t="shared" si="9"/>
        <v>180.9296539227973</v>
      </c>
      <c r="BE9" s="189">
        <f t="shared" si="9"/>
        <v>175.7602352392888</v>
      </c>
      <c r="BF9" s="189">
        <f t="shared" si="9"/>
        <v>170.5908165557803</v>
      </c>
      <c r="BG9" s="189">
        <f t="shared" si="9"/>
        <v>165.4213978722718</v>
      </c>
      <c r="BH9" s="189">
        <f t="shared" si="9"/>
        <v>160.2519791887633</v>
      </c>
      <c r="BI9" s="189">
        <f t="shared" si="9"/>
        <v>155.0825605052548</v>
      </c>
      <c r="BJ9" s="189">
        <f t="shared" si="9"/>
        <v>149.9131418217463</v>
      </c>
      <c r="BK9" s="189">
        <f t="shared" si="9"/>
        <v>144.7437231382378</v>
      </c>
      <c r="BL9" s="189">
        <f t="shared" si="9"/>
        <v>139.57430445472932</v>
      </c>
      <c r="BM9" s="189">
        <f t="shared" si="9"/>
        <v>134.40488577122082</v>
      </c>
      <c r="BN9" s="189">
        <f t="shared" si="9"/>
        <v>129.23546708771232</v>
      </c>
      <c r="BO9" s="190">
        <f>SUM(BC9:BN9)</f>
        <v>1892.0072381641085</v>
      </c>
      <c r="BP9" s="189">
        <f aca="true" t="shared" si="10" ref="BP9:CA9">BO12*$B$5/12</f>
        <v>124.06604840420384</v>
      </c>
      <c r="BQ9" s="189">
        <f t="shared" si="10"/>
        <v>118.89662972069533</v>
      </c>
      <c r="BR9" s="189">
        <f t="shared" si="10"/>
        <v>113.72721103718685</v>
      </c>
      <c r="BS9" s="189">
        <f t="shared" si="10"/>
        <v>108.55779235367834</v>
      </c>
      <c r="BT9" s="189">
        <f t="shared" si="10"/>
        <v>103.38837367016986</v>
      </c>
      <c r="BU9" s="189">
        <f t="shared" si="10"/>
        <v>98.21895498666134</v>
      </c>
      <c r="BV9" s="189">
        <f t="shared" si="10"/>
        <v>93.04953630315286</v>
      </c>
      <c r="BW9" s="189">
        <f t="shared" si="10"/>
        <v>87.88011761964435</v>
      </c>
      <c r="BX9" s="189">
        <f t="shared" si="10"/>
        <v>82.71069893613586</v>
      </c>
      <c r="BY9" s="189">
        <f t="shared" si="10"/>
        <v>77.54128025262736</v>
      </c>
      <c r="BZ9" s="189">
        <f t="shared" si="10"/>
        <v>72.37186156911886</v>
      </c>
      <c r="CA9" s="189">
        <f t="shared" si="10"/>
        <v>67.20244288561037</v>
      </c>
      <c r="CB9" s="190">
        <f>SUM(BP9:CA9)</f>
        <v>1147.610947738885</v>
      </c>
      <c r="CC9" s="189">
        <f aca="true" t="shared" si="11" ref="CC9:CN9">CB12*$B$5/12</f>
        <v>62.03302420210187</v>
      </c>
      <c r="CD9" s="189">
        <f t="shared" si="11"/>
        <v>56.863605518593374</v>
      </c>
      <c r="CE9" s="189">
        <f t="shared" si="11"/>
        <v>51.69418683508488</v>
      </c>
      <c r="CF9" s="189">
        <f t="shared" si="11"/>
        <v>46.52476815157638</v>
      </c>
      <c r="CG9" s="189">
        <f t="shared" si="11"/>
        <v>41.355349468067885</v>
      </c>
      <c r="CH9" s="189">
        <f t="shared" si="11"/>
        <v>36.18593078455939</v>
      </c>
      <c r="CI9" s="189">
        <f t="shared" si="11"/>
        <v>31.016512101050893</v>
      </c>
      <c r="CJ9" s="189">
        <f t="shared" si="11"/>
        <v>25.847093417542396</v>
      </c>
      <c r="CK9" s="189">
        <f t="shared" si="11"/>
        <v>20.6776747340339</v>
      </c>
      <c r="CL9" s="189">
        <f t="shared" si="11"/>
        <v>15.508256050525404</v>
      </c>
      <c r="CM9" s="189">
        <f t="shared" si="11"/>
        <v>10.33883736701691</v>
      </c>
      <c r="CN9" s="189">
        <f t="shared" si="11"/>
        <v>5.169418683508414</v>
      </c>
      <c r="CO9" s="190">
        <f>SUM(CC9:CN9)</f>
        <v>403.2146573136617</v>
      </c>
      <c r="CP9" s="189">
        <f aca="true" t="shared" si="12" ref="CP9:DA9">CO12*$B$5/12</f>
        <v>-8.090713284521675E-14</v>
      </c>
      <c r="CQ9" s="189">
        <f t="shared" si="12"/>
        <v>-8.090713284521675E-14</v>
      </c>
      <c r="CR9" s="189">
        <f t="shared" si="12"/>
        <v>-8.090713284521675E-14</v>
      </c>
      <c r="CS9" s="189">
        <f t="shared" si="12"/>
        <v>-8.090713284521675E-14</v>
      </c>
      <c r="CT9" s="189">
        <f t="shared" si="12"/>
        <v>-8.090713284521675E-14</v>
      </c>
      <c r="CU9" s="189">
        <f t="shared" si="12"/>
        <v>-8.090713284521675E-14</v>
      </c>
      <c r="CV9" s="189">
        <f t="shared" si="12"/>
        <v>-8.090713284521675E-14</v>
      </c>
      <c r="CW9" s="189">
        <f t="shared" si="12"/>
        <v>-8.090713284521675E-14</v>
      </c>
      <c r="CX9" s="189">
        <f t="shared" si="12"/>
        <v>-8.090713284521675E-14</v>
      </c>
      <c r="CY9" s="189">
        <f t="shared" si="12"/>
        <v>-8.090713284521675E-14</v>
      </c>
      <c r="CZ9" s="189">
        <f t="shared" si="12"/>
        <v>-8.090713284521675E-14</v>
      </c>
      <c r="DA9" s="189">
        <f t="shared" si="12"/>
        <v>-8.090713284521675E-14</v>
      </c>
      <c r="DB9" s="190">
        <f>SUM(CP9:DA9)</f>
        <v>-9.70885594142601E-13</v>
      </c>
    </row>
    <row r="10" spans="1:107" ht="12.75">
      <c r="A10" s="183" t="s">
        <v>12</v>
      </c>
      <c r="B10" s="188">
        <f>O10+AB10+AO10+BB10+BO10+CB10+CO10+DB10</f>
        <v>63805.396322162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0">
        <f>SUM(C10:N10)</f>
        <v>0</v>
      </c>
      <c r="P10" s="189">
        <f>$O$12/$B$13</f>
        <v>886.1860600300276</v>
      </c>
      <c r="Q10" s="189">
        <f aca="true" t="shared" si="13" ref="Q10:AA10">$O$12/$B$13</f>
        <v>886.1860600300276</v>
      </c>
      <c r="R10" s="189">
        <f t="shared" si="13"/>
        <v>886.1860600300276</v>
      </c>
      <c r="S10" s="189">
        <f t="shared" si="13"/>
        <v>886.1860600300276</v>
      </c>
      <c r="T10" s="189">
        <f t="shared" si="13"/>
        <v>886.1860600300276</v>
      </c>
      <c r="U10" s="189">
        <f t="shared" si="13"/>
        <v>886.1860600300276</v>
      </c>
      <c r="V10" s="189">
        <f t="shared" si="13"/>
        <v>886.1860600300276</v>
      </c>
      <c r="W10" s="189">
        <f t="shared" si="13"/>
        <v>886.1860600300276</v>
      </c>
      <c r="X10" s="189">
        <f t="shared" si="13"/>
        <v>886.1860600300276</v>
      </c>
      <c r="Y10" s="189">
        <f t="shared" si="13"/>
        <v>886.1860600300276</v>
      </c>
      <c r="Z10" s="189">
        <f t="shared" si="13"/>
        <v>886.1860600300276</v>
      </c>
      <c r="AA10" s="189">
        <f t="shared" si="13"/>
        <v>886.1860600300276</v>
      </c>
      <c r="AB10" s="190">
        <f>SUM(P10:AA10)</f>
        <v>10634.232720360333</v>
      </c>
      <c r="AC10" s="189">
        <f>$O$12/$B$13</f>
        <v>886.1860600300276</v>
      </c>
      <c r="AD10" s="189">
        <f aca="true" t="shared" si="14" ref="AD10:AN10">$O$12/$B$13</f>
        <v>886.1860600300276</v>
      </c>
      <c r="AE10" s="189">
        <f t="shared" si="14"/>
        <v>886.1860600300276</v>
      </c>
      <c r="AF10" s="189">
        <f t="shared" si="14"/>
        <v>886.1860600300276</v>
      </c>
      <c r="AG10" s="189">
        <f t="shared" si="14"/>
        <v>886.1860600300276</v>
      </c>
      <c r="AH10" s="189">
        <f t="shared" si="14"/>
        <v>886.1860600300276</v>
      </c>
      <c r="AI10" s="189">
        <f t="shared" si="14"/>
        <v>886.1860600300276</v>
      </c>
      <c r="AJ10" s="189">
        <f t="shared" si="14"/>
        <v>886.1860600300276</v>
      </c>
      <c r="AK10" s="189">
        <f t="shared" si="14"/>
        <v>886.1860600300276</v>
      </c>
      <c r="AL10" s="189">
        <f t="shared" si="14"/>
        <v>886.1860600300276</v>
      </c>
      <c r="AM10" s="189">
        <f t="shared" si="14"/>
        <v>886.1860600300276</v>
      </c>
      <c r="AN10" s="189">
        <f t="shared" si="14"/>
        <v>886.1860600300276</v>
      </c>
      <c r="AO10" s="190">
        <f>SUM(AC10:AN10)</f>
        <v>10634.232720360333</v>
      </c>
      <c r="AP10" s="189">
        <f>$O$12/$B$13</f>
        <v>886.1860600300276</v>
      </c>
      <c r="AQ10" s="189">
        <f aca="true" t="shared" si="15" ref="AQ10:BA10">$O$12/$B$13</f>
        <v>886.1860600300276</v>
      </c>
      <c r="AR10" s="189">
        <f t="shared" si="15"/>
        <v>886.1860600300276</v>
      </c>
      <c r="AS10" s="189">
        <f t="shared" si="15"/>
        <v>886.1860600300276</v>
      </c>
      <c r="AT10" s="189">
        <f t="shared" si="15"/>
        <v>886.1860600300276</v>
      </c>
      <c r="AU10" s="189">
        <f t="shared" si="15"/>
        <v>886.1860600300276</v>
      </c>
      <c r="AV10" s="189">
        <f t="shared" si="15"/>
        <v>886.1860600300276</v>
      </c>
      <c r="AW10" s="189">
        <f t="shared" si="15"/>
        <v>886.1860600300276</v>
      </c>
      <c r="AX10" s="189">
        <f t="shared" si="15"/>
        <v>886.1860600300276</v>
      </c>
      <c r="AY10" s="189">
        <f t="shared" si="15"/>
        <v>886.1860600300276</v>
      </c>
      <c r="AZ10" s="189">
        <f t="shared" si="15"/>
        <v>886.1860600300276</v>
      </c>
      <c r="BA10" s="189">
        <f t="shared" si="15"/>
        <v>886.1860600300276</v>
      </c>
      <c r="BB10" s="190">
        <f>SUM(AP10:BA10)</f>
        <v>10634.232720360333</v>
      </c>
      <c r="BC10" s="189">
        <f>$O$12/$B$13</f>
        <v>886.1860600300276</v>
      </c>
      <c r="BD10" s="189">
        <f aca="true" t="shared" si="16" ref="BD10:BN10">$O$12/$B$13</f>
        <v>886.1860600300276</v>
      </c>
      <c r="BE10" s="189">
        <f t="shared" si="16"/>
        <v>886.1860600300276</v>
      </c>
      <c r="BF10" s="189">
        <f t="shared" si="16"/>
        <v>886.1860600300276</v>
      </c>
      <c r="BG10" s="189">
        <f t="shared" si="16"/>
        <v>886.1860600300276</v>
      </c>
      <c r="BH10" s="189">
        <f t="shared" si="16"/>
        <v>886.1860600300276</v>
      </c>
      <c r="BI10" s="189">
        <f t="shared" si="16"/>
        <v>886.1860600300276</v>
      </c>
      <c r="BJ10" s="189">
        <f t="shared" si="16"/>
        <v>886.1860600300276</v>
      </c>
      <c r="BK10" s="189">
        <f t="shared" si="16"/>
        <v>886.1860600300276</v>
      </c>
      <c r="BL10" s="189">
        <f t="shared" si="16"/>
        <v>886.1860600300276</v>
      </c>
      <c r="BM10" s="189">
        <f t="shared" si="16"/>
        <v>886.1860600300276</v>
      </c>
      <c r="BN10" s="189">
        <f t="shared" si="16"/>
        <v>886.1860600300276</v>
      </c>
      <c r="BO10" s="190">
        <f>SUM(BC10:BN10)</f>
        <v>10634.232720360333</v>
      </c>
      <c r="BP10" s="189">
        <f>$O$12/$B$13</f>
        <v>886.1860600300276</v>
      </c>
      <c r="BQ10" s="189">
        <f aca="true" t="shared" si="17" ref="BQ10:CA10">$O$12/$B$13</f>
        <v>886.1860600300276</v>
      </c>
      <c r="BR10" s="189">
        <f t="shared" si="17"/>
        <v>886.1860600300276</v>
      </c>
      <c r="BS10" s="189">
        <f t="shared" si="17"/>
        <v>886.1860600300276</v>
      </c>
      <c r="BT10" s="189">
        <f t="shared" si="17"/>
        <v>886.1860600300276</v>
      </c>
      <c r="BU10" s="189">
        <f t="shared" si="17"/>
        <v>886.1860600300276</v>
      </c>
      <c r="BV10" s="189">
        <f t="shared" si="17"/>
        <v>886.1860600300276</v>
      </c>
      <c r="BW10" s="189">
        <f t="shared" si="17"/>
        <v>886.1860600300276</v>
      </c>
      <c r="BX10" s="189">
        <f t="shared" si="17"/>
        <v>886.1860600300276</v>
      </c>
      <c r="BY10" s="189">
        <f t="shared" si="17"/>
        <v>886.1860600300276</v>
      </c>
      <c r="BZ10" s="189">
        <f t="shared" si="17"/>
        <v>886.1860600300276</v>
      </c>
      <c r="CA10" s="189">
        <f t="shared" si="17"/>
        <v>886.1860600300276</v>
      </c>
      <c r="CB10" s="190">
        <f>SUM(BP10:CA10)</f>
        <v>10634.232720360333</v>
      </c>
      <c r="CC10" s="189">
        <f>$O$12/$B$13</f>
        <v>886.1860600300276</v>
      </c>
      <c r="CD10" s="189">
        <f aca="true" t="shared" si="18" ref="CD10:CN10">$O$12/$B$13</f>
        <v>886.1860600300276</v>
      </c>
      <c r="CE10" s="189">
        <f t="shared" si="18"/>
        <v>886.1860600300276</v>
      </c>
      <c r="CF10" s="189">
        <f t="shared" si="18"/>
        <v>886.1860600300276</v>
      </c>
      <c r="CG10" s="189">
        <f t="shared" si="18"/>
        <v>886.1860600300276</v>
      </c>
      <c r="CH10" s="189">
        <f t="shared" si="18"/>
        <v>886.1860600300276</v>
      </c>
      <c r="CI10" s="189">
        <f t="shared" si="18"/>
        <v>886.1860600300276</v>
      </c>
      <c r="CJ10" s="189">
        <f t="shared" si="18"/>
        <v>886.1860600300276</v>
      </c>
      <c r="CK10" s="189">
        <f t="shared" si="18"/>
        <v>886.1860600300276</v>
      </c>
      <c r="CL10" s="189">
        <f t="shared" si="18"/>
        <v>886.1860600300276</v>
      </c>
      <c r="CM10" s="189">
        <f t="shared" si="18"/>
        <v>886.1860600300276</v>
      </c>
      <c r="CN10" s="189">
        <f t="shared" si="18"/>
        <v>886.1860600300276</v>
      </c>
      <c r="CO10" s="190">
        <f>SUM(CC10:CN10)</f>
        <v>10634.232720360333</v>
      </c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90">
        <f>SUM(CP10:DA10)</f>
        <v>0</v>
      </c>
      <c r="DC10" s="191"/>
    </row>
    <row r="11" spans="1:107" ht="12.75">
      <c r="A11" s="183" t="s">
        <v>13</v>
      </c>
      <c r="B11" s="188">
        <f>O11+AB11+AO11+BB11+BO11+CB11+CO11+DB11</f>
        <v>13585.232300260319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0">
        <f>SUM(C11:N11)</f>
        <v>0</v>
      </c>
      <c r="P11" s="189">
        <f aca="true" t="shared" si="19" ref="P11:X11">P9</f>
        <v>372.1981452126117</v>
      </c>
      <c r="Q11" s="189">
        <f t="shared" si="19"/>
        <v>367.02872652910315</v>
      </c>
      <c r="R11" s="189">
        <f t="shared" si="19"/>
        <v>361.8593078455947</v>
      </c>
      <c r="S11" s="189">
        <f t="shared" si="19"/>
        <v>356.6898891620862</v>
      </c>
      <c r="T11" s="189">
        <f t="shared" si="19"/>
        <v>351.52047047857764</v>
      </c>
      <c r="U11" s="189">
        <f t="shared" si="19"/>
        <v>346.35105179506917</v>
      </c>
      <c r="V11" s="189">
        <f t="shared" si="19"/>
        <v>341.18163311156064</v>
      </c>
      <c r="W11" s="189">
        <f t="shared" si="19"/>
        <v>336.0122144280522</v>
      </c>
      <c r="X11" s="189">
        <f t="shared" si="19"/>
        <v>330.8427957445437</v>
      </c>
      <c r="Y11" s="189">
        <f aca="true" t="shared" si="20" ref="Y11:BN11">Y9</f>
        <v>325.6733770610352</v>
      </c>
      <c r="Z11" s="189">
        <f t="shared" si="20"/>
        <v>320.50395837752666</v>
      </c>
      <c r="AA11" s="189">
        <f t="shared" si="20"/>
        <v>315.3345396940182</v>
      </c>
      <c r="AB11" s="190">
        <f>SUM(P11:AA11)</f>
        <v>4125.196109439779</v>
      </c>
      <c r="AC11" s="189">
        <f t="shared" si="20"/>
        <v>310.1651210105097</v>
      </c>
      <c r="AD11" s="189">
        <f t="shared" si="20"/>
        <v>304.9957023270012</v>
      </c>
      <c r="AE11" s="189">
        <f t="shared" si="20"/>
        <v>299.8262836434927</v>
      </c>
      <c r="AF11" s="189">
        <f t="shared" si="20"/>
        <v>294.6568649599842</v>
      </c>
      <c r="AG11" s="189">
        <f t="shared" si="20"/>
        <v>289.48744627647574</v>
      </c>
      <c r="AH11" s="189">
        <f t="shared" si="20"/>
        <v>284.3180275929672</v>
      </c>
      <c r="AI11" s="189">
        <f t="shared" si="20"/>
        <v>279.1486089094587</v>
      </c>
      <c r="AJ11" s="189">
        <f t="shared" si="20"/>
        <v>273.9791902259502</v>
      </c>
      <c r="AK11" s="189">
        <f t="shared" si="20"/>
        <v>268.80977154244175</v>
      </c>
      <c r="AL11" s="189">
        <f t="shared" si="20"/>
        <v>263.6403528589332</v>
      </c>
      <c r="AM11" s="189">
        <f t="shared" si="20"/>
        <v>258.4709341754247</v>
      </c>
      <c r="AN11" s="189">
        <f t="shared" si="20"/>
        <v>253.30151549191623</v>
      </c>
      <c r="AO11" s="190">
        <f>SUM(AC11:AN11)</f>
        <v>3380.7998190145554</v>
      </c>
      <c r="AP11" s="189">
        <f t="shared" si="20"/>
        <v>248.13209680840774</v>
      </c>
      <c r="AQ11" s="189">
        <f t="shared" si="20"/>
        <v>242.96267812489927</v>
      </c>
      <c r="AR11" s="189">
        <f t="shared" si="20"/>
        <v>237.79325944139075</v>
      </c>
      <c r="AS11" s="189">
        <f t="shared" si="20"/>
        <v>232.62384075788225</v>
      </c>
      <c r="AT11" s="189">
        <f t="shared" si="20"/>
        <v>227.45442207437375</v>
      </c>
      <c r="AU11" s="189">
        <f t="shared" si="20"/>
        <v>222.28500339086528</v>
      </c>
      <c r="AV11" s="189">
        <f t="shared" si="20"/>
        <v>217.11558470735676</v>
      </c>
      <c r="AW11" s="189">
        <f t="shared" si="20"/>
        <v>211.94616602384826</v>
      </c>
      <c r="AX11" s="189">
        <f t="shared" si="20"/>
        <v>206.77674734033977</v>
      </c>
      <c r="AY11" s="189">
        <f t="shared" si="20"/>
        <v>201.6073286568313</v>
      </c>
      <c r="AZ11" s="189">
        <f t="shared" si="20"/>
        <v>196.43790997332277</v>
      </c>
      <c r="BA11" s="189">
        <f t="shared" si="20"/>
        <v>191.26849128981428</v>
      </c>
      <c r="BB11" s="190">
        <f>SUM(AP11:BA11)</f>
        <v>2636.4035285893324</v>
      </c>
      <c r="BC11" s="189">
        <f t="shared" si="20"/>
        <v>186.09907260630578</v>
      </c>
      <c r="BD11" s="189">
        <f t="shared" si="20"/>
        <v>180.9296539227973</v>
      </c>
      <c r="BE11" s="189">
        <f t="shared" si="20"/>
        <v>175.7602352392888</v>
      </c>
      <c r="BF11" s="189">
        <f t="shared" si="20"/>
        <v>170.5908165557803</v>
      </c>
      <c r="BG11" s="189">
        <f t="shared" si="20"/>
        <v>165.4213978722718</v>
      </c>
      <c r="BH11" s="189">
        <f t="shared" si="20"/>
        <v>160.2519791887633</v>
      </c>
      <c r="BI11" s="189">
        <f t="shared" si="20"/>
        <v>155.0825605052548</v>
      </c>
      <c r="BJ11" s="189">
        <f t="shared" si="20"/>
        <v>149.9131418217463</v>
      </c>
      <c r="BK11" s="189">
        <f t="shared" si="20"/>
        <v>144.7437231382378</v>
      </c>
      <c r="BL11" s="189">
        <f t="shared" si="20"/>
        <v>139.57430445472932</v>
      </c>
      <c r="BM11" s="189">
        <f t="shared" si="20"/>
        <v>134.40488577122082</v>
      </c>
      <c r="BN11" s="189">
        <f t="shared" si="20"/>
        <v>129.23546708771232</v>
      </c>
      <c r="BO11" s="190">
        <f>SUM(BC11:BN11)</f>
        <v>1892.0072381641085</v>
      </c>
      <c r="BP11" s="189">
        <f aca="true" t="shared" si="21" ref="BP11:CA11">BP9</f>
        <v>124.06604840420384</v>
      </c>
      <c r="BQ11" s="189">
        <f t="shared" si="21"/>
        <v>118.89662972069533</v>
      </c>
      <c r="BR11" s="189">
        <f t="shared" si="21"/>
        <v>113.72721103718685</v>
      </c>
      <c r="BS11" s="189">
        <f t="shared" si="21"/>
        <v>108.55779235367834</v>
      </c>
      <c r="BT11" s="189">
        <f t="shared" si="21"/>
        <v>103.38837367016986</v>
      </c>
      <c r="BU11" s="189">
        <f t="shared" si="21"/>
        <v>98.21895498666134</v>
      </c>
      <c r="BV11" s="189">
        <f t="shared" si="21"/>
        <v>93.04953630315286</v>
      </c>
      <c r="BW11" s="189">
        <f t="shared" si="21"/>
        <v>87.88011761964435</v>
      </c>
      <c r="BX11" s="189">
        <f t="shared" si="21"/>
        <v>82.71069893613586</v>
      </c>
      <c r="BY11" s="189">
        <f t="shared" si="21"/>
        <v>77.54128025262736</v>
      </c>
      <c r="BZ11" s="189">
        <f t="shared" si="21"/>
        <v>72.37186156911886</v>
      </c>
      <c r="CA11" s="189">
        <f t="shared" si="21"/>
        <v>67.20244288561037</v>
      </c>
      <c r="CB11" s="190">
        <f>SUM(BP11:CA11)</f>
        <v>1147.610947738885</v>
      </c>
      <c r="CC11" s="189">
        <f aca="true" t="shared" si="22" ref="CC11:CN11">CC9</f>
        <v>62.03302420210187</v>
      </c>
      <c r="CD11" s="189">
        <f t="shared" si="22"/>
        <v>56.863605518593374</v>
      </c>
      <c r="CE11" s="189">
        <f t="shared" si="22"/>
        <v>51.69418683508488</v>
      </c>
      <c r="CF11" s="189">
        <f t="shared" si="22"/>
        <v>46.52476815157638</v>
      </c>
      <c r="CG11" s="189">
        <f t="shared" si="22"/>
        <v>41.355349468067885</v>
      </c>
      <c r="CH11" s="189">
        <f t="shared" si="22"/>
        <v>36.18593078455939</v>
      </c>
      <c r="CI11" s="189">
        <f t="shared" si="22"/>
        <v>31.016512101050893</v>
      </c>
      <c r="CJ11" s="189">
        <f t="shared" si="22"/>
        <v>25.847093417542396</v>
      </c>
      <c r="CK11" s="189">
        <f t="shared" si="22"/>
        <v>20.6776747340339</v>
      </c>
      <c r="CL11" s="189">
        <f t="shared" si="22"/>
        <v>15.508256050525404</v>
      </c>
      <c r="CM11" s="189">
        <f t="shared" si="22"/>
        <v>10.33883736701691</v>
      </c>
      <c r="CN11" s="189">
        <f t="shared" si="22"/>
        <v>5.169418683508414</v>
      </c>
      <c r="CO11" s="190">
        <f>SUM(CC11:CN11)</f>
        <v>403.2146573136617</v>
      </c>
      <c r="CP11" s="189">
        <f aca="true" t="shared" si="23" ref="CP11:DA11">CP9</f>
        <v>-8.090713284521675E-14</v>
      </c>
      <c r="CQ11" s="189">
        <f t="shared" si="23"/>
        <v>-8.090713284521675E-14</v>
      </c>
      <c r="CR11" s="189">
        <f t="shared" si="23"/>
        <v>-8.090713284521675E-14</v>
      </c>
      <c r="CS11" s="189">
        <f t="shared" si="23"/>
        <v>-8.090713284521675E-14</v>
      </c>
      <c r="CT11" s="189">
        <f t="shared" si="23"/>
        <v>-8.090713284521675E-14</v>
      </c>
      <c r="CU11" s="189">
        <f t="shared" si="23"/>
        <v>-8.090713284521675E-14</v>
      </c>
      <c r="CV11" s="189">
        <f t="shared" si="23"/>
        <v>-8.090713284521675E-14</v>
      </c>
      <c r="CW11" s="189">
        <f t="shared" si="23"/>
        <v>-8.090713284521675E-14</v>
      </c>
      <c r="CX11" s="189">
        <f t="shared" si="23"/>
        <v>-8.090713284521675E-14</v>
      </c>
      <c r="CY11" s="189">
        <f t="shared" si="23"/>
        <v>-8.090713284521675E-14</v>
      </c>
      <c r="CZ11" s="189">
        <f t="shared" si="23"/>
        <v>-8.090713284521675E-14</v>
      </c>
      <c r="DA11" s="189">
        <f t="shared" si="23"/>
        <v>-8.090713284521675E-14</v>
      </c>
      <c r="DB11" s="190">
        <f>SUM(CP11:DA11)</f>
        <v>-9.70885594142601E-13</v>
      </c>
      <c r="DC11" s="191" t="s">
        <v>56</v>
      </c>
    </row>
    <row r="12" spans="1:107" ht="12.75">
      <c r="A12" s="183" t="s">
        <v>14</v>
      </c>
      <c r="B12" s="188">
        <f>DB12</f>
        <v>-1.3869794202037156E-11</v>
      </c>
      <c r="C12" s="189">
        <f>C7</f>
        <v>42039.7936392</v>
      </c>
      <c r="D12" s="189">
        <f>C12+D7-D10+D8</f>
        <v>60056.848055999995</v>
      </c>
      <c r="E12" s="189">
        <f>D12+E7-E10+E8</f>
        <v>60056.848055999995</v>
      </c>
      <c r="F12" s="189">
        <f>E12+F7-F10+F8</f>
        <v>60056.848055999995</v>
      </c>
      <c r="G12" s="189">
        <f aca="true" t="shared" si="24" ref="G12:M12">F12+G7-G10+G8</f>
        <v>60056.848055999995</v>
      </c>
      <c r="H12" s="189">
        <f>G12+H7-H10+H8</f>
        <v>60056.848055999995</v>
      </c>
      <c r="I12" s="189">
        <f t="shared" si="24"/>
        <v>60056.848055999995</v>
      </c>
      <c r="J12" s="189">
        <f t="shared" si="24"/>
        <v>60056.848055999995</v>
      </c>
      <c r="K12" s="189">
        <f t="shared" si="24"/>
        <v>60056.848055999995</v>
      </c>
      <c r="L12" s="189">
        <f t="shared" si="24"/>
        <v>60056.848055999995</v>
      </c>
      <c r="M12" s="189">
        <f t="shared" si="24"/>
        <v>60056.848055999995</v>
      </c>
      <c r="N12" s="189">
        <f>M12+N7-N10+N8</f>
        <v>63805.39632216199</v>
      </c>
      <c r="O12" s="190">
        <f>N12</f>
        <v>63805.39632216199</v>
      </c>
      <c r="P12" s="189">
        <f>O12+P7-P10+P8</f>
        <v>62919.210262131965</v>
      </c>
      <c r="Q12" s="189">
        <f aca="true" t="shared" si="25" ref="Q12:Z12">P12+Q7-Q10+Q8</f>
        <v>62033.02420210194</v>
      </c>
      <c r="R12" s="189">
        <f t="shared" si="25"/>
        <v>61146.83814207191</v>
      </c>
      <c r="S12" s="189">
        <f t="shared" si="25"/>
        <v>60260.65208204188</v>
      </c>
      <c r="T12" s="189">
        <f t="shared" si="25"/>
        <v>59374.46602201185</v>
      </c>
      <c r="U12" s="189">
        <f t="shared" si="25"/>
        <v>58488.279961981825</v>
      </c>
      <c r="V12" s="189">
        <f t="shared" si="25"/>
        <v>57602.0939019518</v>
      </c>
      <c r="W12" s="189">
        <f t="shared" si="25"/>
        <v>56715.90784192177</v>
      </c>
      <c r="X12" s="189">
        <f t="shared" si="25"/>
        <v>55829.72178189174</v>
      </c>
      <c r="Y12" s="189">
        <f t="shared" si="25"/>
        <v>54943.535721861714</v>
      </c>
      <c r="Z12" s="189">
        <f t="shared" si="25"/>
        <v>54057.349661831686</v>
      </c>
      <c r="AA12" s="189">
        <f>Z12+AA7-AA10+AA8</f>
        <v>53171.16360180166</v>
      </c>
      <c r="AB12" s="190">
        <f>AA12</f>
        <v>53171.16360180166</v>
      </c>
      <c r="AC12" s="189">
        <f>AB12+AC7-AC10+AC8</f>
        <v>52284.97754177163</v>
      </c>
      <c r="AD12" s="189">
        <f aca="true" t="shared" si="26" ref="AD12:AN12">AC12+AD7-AD10+AD8</f>
        <v>51398.7914817416</v>
      </c>
      <c r="AE12" s="189">
        <f t="shared" si="26"/>
        <v>50512.605421711574</v>
      </c>
      <c r="AF12" s="189">
        <f t="shared" si="26"/>
        <v>49626.41936168155</v>
      </c>
      <c r="AG12" s="189">
        <f t="shared" si="26"/>
        <v>48740.23330165152</v>
      </c>
      <c r="AH12" s="189">
        <f t="shared" si="26"/>
        <v>47854.04724162149</v>
      </c>
      <c r="AI12" s="189">
        <f t="shared" si="26"/>
        <v>46967.86118159146</v>
      </c>
      <c r="AJ12" s="189">
        <f t="shared" si="26"/>
        <v>46081.675121561435</v>
      </c>
      <c r="AK12" s="189">
        <f t="shared" si="26"/>
        <v>45195.48906153141</v>
      </c>
      <c r="AL12" s="189">
        <f t="shared" si="26"/>
        <v>44309.30300150138</v>
      </c>
      <c r="AM12" s="189">
        <f t="shared" si="26"/>
        <v>43423.11694147135</v>
      </c>
      <c r="AN12" s="189">
        <f t="shared" si="26"/>
        <v>42536.93088144132</v>
      </c>
      <c r="AO12" s="190">
        <f>AN12</f>
        <v>42536.93088144132</v>
      </c>
      <c r="AP12" s="189">
        <f>AO12+AP7-AP10+AP8</f>
        <v>41650.744821411296</v>
      </c>
      <c r="AQ12" s="189">
        <f aca="true" t="shared" si="27" ref="AQ12:BA12">AP12+AQ7-AQ10+AQ8</f>
        <v>40764.55876138127</v>
      </c>
      <c r="AR12" s="189">
        <f t="shared" si="27"/>
        <v>39878.37270135124</v>
      </c>
      <c r="AS12" s="189">
        <f t="shared" si="27"/>
        <v>38992.18664132121</v>
      </c>
      <c r="AT12" s="189">
        <f t="shared" si="27"/>
        <v>38106.000581291184</v>
      </c>
      <c r="AU12" s="189">
        <f t="shared" si="27"/>
        <v>37219.814521261156</v>
      </c>
      <c r="AV12" s="189">
        <f t="shared" si="27"/>
        <v>36333.62846123113</v>
      </c>
      <c r="AW12" s="189">
        <f t="shared" si="27"/>
        <v>35447.4424012011</v>
      </c>
      <c r="AX12" s="189">
        <f t="shared" si="27"/>
        <v>34561.25634117107</v>
      </c>
      <c r="AY12" s="189">
        <f t="shared" si="27"/>
        <v>33675.070281141045</v>
      </c>
      <c r="AZ12" s="189">
        <f t="shared" si="27"/>
        <v>32788.88422111102</v>
      </c>
      <c r="BA12" s="189">
        <f t="shared" si="27"/>
        <v>31902.69816108099</v>
      </c>
      <c r="BB12" s="190">
        <f>BA12</f>
        <v>31902.69816108099</v>
      </c>
      <c r="BC12" s="189">
        <f>BB12+BC7-BC10+BC8</f>
        <v>31016.51210105096</v>
      </c>
      <c r="BD12" s="189">
        <f aca="true" t="shared" si="28" ref="BD12:BN12">BC12+BD7-BD10+BD8</f>
        <v>30130.326041020933</v>
      </c>
      <c r="BE12" s="189">
        <f t="shared" si="28"/>
        <v>29244.139980990905</v>
      </c>
      <c r="BF12" s="189">
        <f t="shared" si="28"/>
        <v>28357.953920960877</v>
      </c>
      <c r="BG12" s="189">
        <f t="shared" si="28"/>
        <v>27471.76786093085</v>
      </c>
      <c r="BH12" s="189">
        <f t="shared" si="28"/>
        <v>26585.58180090082</v>
      </c>
      <c r="BI12" s="189">
        <f t="shared" si="28"/>
        <v>25699.395740870794</v>
      </c>
      <c r="BJ12" s="189">
        <f t="shared" si="28"/>
        <v>24813.209680840766</v>
      </c>
      <c r="BK12" s="189">
        <f t="shared" si="28"/>
        <v>23927.023620810738</v>
      </c>
      <c r="BL12" s="189">
        <f t="shared" si="28"/>
        <v>23040.83756078071</v>
      </c>
      <c r="BM12" s="189">
        <f t="shared" si="28"/>
        <v>22154.651500750682</v>
      </c>
      <c r="BN12" s="189">
        <f t="shared" si="28"/>
        <v>21268.465440720654</v>
      </c>
      <c r="BO12" s="190">
        <f>BN12</f>
        <v>21268.465440720654</v>
      </c>
      <c r="BP12" s="189">
        <f aca="true" t="shared" si="29" ref="BP12:CA12">BO12+BP7-BP10+BP8</f>
        <v>20382.279380690627</v>
      </c>
      <c r="BQ12" s="189">
        <f t="shared" si="29"/>
        <v>19496.0933206606</v>
      </c>
      <c r="BR12" s="189">
        <f t="shared" si="29"/>
        <v>18609.90726063057</v>
      </c>
      <c r="BS12" s="189">
        <f t="shared" si="29"/>
        <v>17723.721200600543</v>
      </c>
      <c r="BT12" s="189">
        <f t="shared" si="29"/>
        <v>16837.535140570515</v>
      </c>
      <c r="BU12" s="189">
        <f t="shared" si="29"/>
        <v>15951.349080540487</v>
      </c>
      <c r="BV12" s="189">
        <f t="shared" si="29"/>
        <v>15065.16302051046</v>
      </c>
      <c r="BW12" s="189">
        <f t="shared" si="29"/>
        <v>14178.976960480431</v>
      </c>
      <c r="BX12" s="189">
        <f t="shared" si="29"/>
        <v>13292.790900450404</v>
      </c>
      <c r="BY12" s="189">
        <f t="shared" si="29"/>
        <v>12406.604840420376</v>
      </c>
      <c r="BZ12" s="189">
        <f t="shared" si="29"/>
        <v>11520.418780390348</v>
      </c>
      <c r="CA12" s="189">
        <f t="shared" si="29"/>
        <v>10634.23272036032</v>
      </c>
      <c r="CB12" s="190">
        <f>CA12</f>
        <v>10634.23272036032</v>
      </c>
      <c r="CC12" s="189">
        <f aca="true" t="shared" si="30" ref="CC12:CN12">CB12+CC7-CC10+CC8</f>
        <v>9748.046660330292</v>
      </c>
      <c r="CD12" s="189">
        <f t="shared" si="30"/>
        <v>8861.860600300264</v>
      </c>
      <c r="CE12" s="189">
        <f t="shared" si="30"/>
        <v>7975.674540270236</v>
      </c>
      <c r="CF12" s="189">
        <f t="shared" si="30"/>
        <v>7089.488480240208</v>
      </c>
      <c r="CG12" s="189">
        <f t="shared" si="30"/>
        <v>6203.302420210181</v>
      </c>
      <c r="CH12" s="189">
        <f t="shared" si="30"/>
        <v>5317.116360180153</v>
      </c>
      <c r="CI12" s="189">
        <f t="shared" si="30"/>
        <v>4430.930300150125</v>
      </c>
      <c r="CJ12" s="189">
        <f t="shared" si="30"/>
        <v>3544.744240120097</v>
      </c>
      <c r="CK12" s="189">
        <f t="shared" si="30"/>
        <v>2658.558180090069</v>
      </c>
      <c r="CL12" s="189">
        <f t="shared" si="30"/>
        <v>1772.3721200600414</v>
      </c>
      <c r="CM12" s="189">
        <f t="shared" si="30"/>
        <v>886.1860600300138</v>
      </c>
      <c r="CN12" s="189">
        <f t="shared" si="30"/>
        <v>-1.3869794202037156E-11</v>
      </c>
      <c r="CO12" s="190">
        <f>CN12</f>
        <v>-1.3869794202037156E-11</v>
      </c>
      <c r="CP12" s="189">
        <f aca="true" t="shared" si="31" ref="CP12:DA12">CO12+CP7-CP10+CP8</f>
        <v>-1.3869794202037156E-11</v>
      </c>
      <c r="CQ12" s="189">
        <f t="shared" si="31"/>
        <v>-1.3869794202037156E-11</v>
      </c>
      <c r="CR12" s="189">
        <f t="shared" si="31"/>
        <v>-1.3869794202037156E-11</v>
      </c>
      <c r="CS12" s="189">
        <f t="shared" si="31"/>
        <v>-1.3869794202037156E-11</v>
      </c>
      <c r="CT12" s="189">
        <f t="shared" si="31"/>
        <v>-1.3869794202037156E-11</v>
      </c>
      <c r="CU12" s="189">
        <f t="shared" si="31"/>
        <v>-1.3869794202037156E-11</v>
      </c>
      <c r="CV12" s="189">
        <f t="shared" si="31"/>
        <v>-1.3869794202037156E-11</v>
      </c>
      <c r="CW12" s="189">
        <f t="shared" si="31"/>
        <v>-1.3869794202037156E-11</v>
      </c>
      <c r="CX12" s="189">
        <f t="shared" si="31"/>
        <v>-1.3869794202037156E-11</v>
      </c>
      <c r="CY12" s="189">
        <f t="shared" si="31"/>
        <v>-1.3869794202037156E-11</v>
      </c>
      <c r="CZ12" s="189">
        <f t="shared" si="31"/>
        <v>-1.3869794202037156E-11</v>
      </c>
      <c r="DA12" s="189">
        <f t="shared" si="31"/>
        <v>-1.3869794202037156E-11</v>
      </c>
      <c r="DB12" s="190">
        <f>DA12</f>
        <v>-1.3869794202037156E-11</v>
      </c>
      <c r="DC12" s="195">
        <f>MAX(C12:DB12)</f>
        <v>63805.39632216199</v>
      </c>
    </row>
    <row r="13" spans="1:107" ht="12.75">
      <c r="A13" s="172" t="s">
        <v>76</v>
      </c>
      <c r="B13" s="172">
        <f>Исх!C42*12-Исх!C43</f>
        <v>72</v>
      </c>
      <c r="DC13" s="175"/>
    </row>
    <row r="16" ht="12.75" outlineLevel="1">
      <c r="A16" s="196">
        <f>B7+B8-B10</f>
        <v>0</v>
      </c>
    </row>
    <row r="17" ht="12.75" outlineLevel="1">
      <c r="A17" s="196">
        <f>B9-B8-B11</f>
        <v>0</v>
      </c>
    </row>
  </sheetData>
  <sheetProtection/>
  <mergeCells count="8">
    <mergeCell ref="CP5:DB5"/>
    <mergeCell ref="CC5:CO5"/>
    <mergeCell ref="C5:O5"/>
    <mergeCell ref="P5:AB5"/>
    <mergeCell ref="AC5:AO5"/>
    <mergeCell ref="AP5:BB5"/>
    <mergeCell ref="BC5:BO5"/>
    <mergeCell ref="BP5:CB5"/>
  </mergeCells>
  <printOptions/>
  <pageMargins left="0.35433070866141736" right="0.1968503937007874" top="0.56" bottom="0.31496062992125984" header="0.1968503937007874" footer="0.2362204724409449"/>
  <pageSetup horizontalDpi="600" verticalDpi="600" orientation="landscape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2:S43"/>
  <sheetViews>
    <sheetView showGridLines="0" zoomScalePageLayoutView="0" workbookViewId="0" topLeftCell="A1">
      <pane xSplit="2" ySplit="4" topLeftCell="C14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S42" sqref="S42"/>
    </sheetView>
  </sheetViews>
  <sheetFormatPr defaultColWidth="8.875" defaultRowHeight="12.75" outlineLevelRow="1" outlineLevelCol="1"/>
  <cols>
    <col min="1" max="1" width="36.25390625" style="71" customWidth="1"/>
    <col min="2" max="2" width="10.00390625" style="71" customWidth="1"/>
    <col min="3" max="3" width="9.00390625" style="71" customWidth="1"/>
    <col min="4" max="4" width="10.00390625" style="71" customWidth="1"/>
    <col min="5" max="5" width="6.875" style="71" customWidth="1" outlineLevel="1"/>
    <col min="6" max="6" width="6.75390625" style="71" customWidth="1" outlineLevel="1"/>
    <col min="7" max="10" width="4.875" style="71" customWidth="1" outlineLevel="1"/>
    <col min="11" max="11" width="5.875" style="71" customWidth="1" outlineLevel="1"/>
    <col min="12" max="12" width="6.125" style="71" customWidth="1" outlineLevel="1"/>
    <col min="13" max="13" width="6.00390625" style="71" customWidth="1" outlineLevel="1"/>
    <col min="14" max="14" width="6.625" style="71" bestFit="1" customWidth="1" outlineLevel="1"/>
    <col min="15" max="16" width="6.125" style="71" customWidth="1" outlineLevel="1"/>
    <col min="17" max="17" width="10.125" style="71" customWidth="1"/>
    <col min="18" max="18" width="3.625" style="71" customWidth="1"/>
    <col min="19" max="19" width="44.25390625" style="71" customWidth="1"/>
    <col min="20" max="20" width="12.875" style="71" bestFit="1" customWidth="1"/>
    <col min="21" max="16384" width="8.875" style="71" customWidth="1"/>
  </cols>
  <sheetData>
    <row r="1" ht="8.25" customHeight="1"/>
    <row r="2" spans="1:19" ht="12.75">
      <c r="A2" s="61" t="s">
        <v>273</v>
      </c>
      <c r="B2" s="168"/>
      <c r="Q2" s="144" t="s">
        <v>57</v>
      </c>
      <c r="R2" s="197"/>
      <c r="S2" s="166"/>
    </row>
    <row r="3" spans="1:19" ht="17.25" customHeight="1">
      <c r="A3" s="340" t="s">
        <v>189</v>
      </c>
      <c r="B3" s="341" t="s">
        <v>159</v>
      </c>
      <c r="C3" s="341" t="s">
        <v>160</v>
      </c>
      <c r="D3" s="342" t="s">
        <v>158</v>
      </c>
      <c r="E3" s="337">
        <v>2014</v>
      </c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9"/>
      <c r="Q3" s="86" t="s">
        <v>0</v>
      </c>
      <c r="R3" s="197"/>
      <c r="S3" s="198"/>
    </row>
    <row r="4" spans="1:17" ht="27" customHeight="1">
      <c r="A4" s="340"/>
      <c r="B4" s="341"/>
      <c r="C4" s="341"/>
      <c r="D4" s="342"/>
      <c r="E4" s="199">
        <v>1</v>
      </c>
      <c r="F4" s="199">
        <v>2</v>
      </c>
      <c r="G4" s="199">
        <v>3</v>
      </c>
      <c r="H4" s="199">
        <v>4</v>
      </c>
      <c r="I4" s="199">
        <v>5</v>
      </c>
      <c r="J4" s="199">
        <v>6</v>
      </c>
      <c r="K4" s="199">
        <v>7</v>
      </c>
      <c r="L4" s="199">
        <v>8</v>
      </c>
      <c r="M4" s="199">
        <v>9</v>
      </c>
      <c r="N4" s="199">
        <v>10</v>
      </c>
      <c r="O4" s="199">
        <v>11</v>
      </c>
      <c r="P4" s="199">
        <v>12</v>
      </c>
      <c r="Q4" s="88">
        <v>2014</v>
      </c>
    </row>
    <row r="5" spans="1:17" s="61" customFormat="1" ht="12.75" hidden="1">
      <c r="A5" s="200" t="s">
        <v>188</v>
      </c>
      <c r="B5" s="201"/>
      <c r="C5" s="201"/>
      <c r="D5" s="141">
        <f aca="true" t="shared" si="0" ref="D5:Q5">SUM(D6:D7)</f>
        <v>0</v>
      </c>
      <c r="E5" s="141">
        <f t="shared" si="0"/>
        <v>0</v>
      </c>
      <c r="F5" s="141">
        <f t="shared" si="0"/>
        <v>0</v>
      </c>
      <c r="G5" s="141">
        <f t="shared" si="0"/>
        <v>0</v>
      </c>
      <c r="H5" s="141">
        <f t="shared" si="0"/>
        <v>0</v>
      </c>
      <c r="I5" s="141">
        <f t="shared" si="0"/>
        <v>0</v>
      </c>
      <c r="J5" s="141">
        <f t="shared" si="0"/>
        <v>0</v>
      </c>
      <c r="K5" s="141">
        <f t="shared" si="0"/>
        <v>0</v>
      </c>
      <c r="L5" s="141">
        <f t="shared" si="0"/>
        <v>0</v>
      </c>
      <c r="M5" s="141">
        <f t="shared" si="0"/>
        <v>0</v>
      </c>
      <c r="N5" s="141">
        <f t="shared" si="0"/>
        <v>0</v>
      </c>
      <c r="O5" s="141">
        <f t="shared" si="0"/>
        <v>0</v>
      </c>
      <c r="P5" s="141">
        <f t="shared" si="0"/>
        <v>0</v>
      </c>
      <c r="Q5" s="141">
        <f t="shared" si="0"/>
        <v>0</v>
      </c>
    </row>
    <row r="6" spans="1:19" ht="12.75" hidden="1" outlineLevel="1">
      <c r="A6" s="237"/>
      <c r="B6" s="235"/>
      <c r="C6" s="235"/>
      <c r="D6" s="148">
        <f>B6*C6</f>
        <v>0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9">
        <f>SUM(E6:P6)</f>
        <v>0</v>
      </c>
      <c r="S6" s="61"/>
    </row>
    <row r="7" spans="1:19" ht="12.75" hidden="1" outlineLevel="1">
      <c r="A7" s="202"/>
      <c r="B7" s="79"/>
      <c r="C7" s="142"/>
      <c r="D7" s="148">
        <f>B7*C7</f>
        <v>0</v>
      </c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9">
        <f>SUM(E7:P7)</f>
        <v>0</v>
      </c>
      <c r="S7" s="61"/>
    </row>
    <row r="8" spans="1:19" ht="12.75" hidden="1" collapsed="1">
      <c r="A8" s="200" t="s">
        <v>105</v>
      </c>
      <c r="B8" s="201"/>
      <c r="C8" s="201"/>
      <c r="D8" s="141">
        <f aca="true" t="shared" si="1" ref="D8:Q8">SUM(D9:D10)</f>
        <v>0</v>
      </c>
      <c r="E8" s="141">
        <f t="shared" si="1"/>
        <v>0</v>
      </c>
      <c r="F8" s="141">
        <f t="shared" si="1"/>
        <v>0</v>
      </c>
      <c r="G8" s="141">
        <f t="shared" si="1"/>
        <v>0</v>
      </c>
      <c r="H8" s="141">
        <f t="shared" si="1"/>
        <v>0</v>
      </c>
      <c r="I8" s="141">
        <f t="shared" si="1"/>
        <v>0</v>
      </c>
      <c r="J8" s="141">
        <f t="shared" si="1"/>
        <v>0</v>
      </c>
      <c r="K8" s="141">
        <f t="shared" si="1"/>
        <v>0</v>
      </c>
      <c r="L8" s="141">
        <f t="shared" si="1"/>
        <v>0</v>
      </c>
      <c r="M8" s="141">
        <f t="shared" si="1"/>
        <v>0</v>
      </c>
      <c r="N8" s="141">
        <f t="shared" si="1"/>
        <v>0</v>
      </c>
      <c r="O8" s="141">
        <f t="shared" si="1"/>
        <v>0</v>
      </c>
      <c r="P8" s="141">
        <f t="shared" si="1"/>
        <v>0</v>
      </c>
      <c r="Q8" s="141">
        <f t="shared" si="1"/>
        <v>0</v>
      </c>
      <c r="S8" s="61"/>
    </row>
    <row r="9" spans="1:19" ht="12.75" hidden="1" outlineLevel="1">
      <c r="A9" s="228"/>
      <c r="B9" s="142"/>
      <c r="C9" s="142"/>
      <c r="D9" s="148">
        <f>B9*C9</f>
        <v>0</v>
      </c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9">
        <f>SUM(E9:P9)</f>
        <v>0</v>
      </c>
      <c r="S9" s="61"/>
    </row>
    <row r="10" spans="1:19" ht="12.75" hidden="1" outlineLevel="1">
      <c r="A10" s="203"/>
      <c r="B10" s="142"/>
      <c r="C10" s="142"/>
      <c r="D10" s="148">
        <f>B10*C10</f>
        <v>0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9">
        <f>SUM(E10:P10)</f>
        <v>0</v>
      </c>
      <c r="S10" s="61"/>
    </row>
    <row r="11" spans="1:19" ht="12.75" collapsed="1">
      <c r="A11" s="200" t="s">
        <v>210</v>
      </c>
      <c r="B11" s="201"/>
      <c r="C11" s="201"/>
      <c r="D11" s="141">
        <f aca="true" t="shared" si="2" ref="D11:Q11">SUM(D12:D33)</f>
        <v>60056.84805600002</v>
      </c>
      <c r="E11" s="141">
        <f t="shared" si="2"/>
        <v>42039.7936392</v>
      </c>
      <c r="F11" s="141">
        <f t="shared" si="2"/>
        <v>18017.054416799998</v>
      </c>
      <c r="G11" s="141">
        <f t="shared" si="2"/>
        <v>0</v>
      </c>
      <c r="H11" s="141">
        <f t="shared" si="2"/>
        <v>0</v>
      </c>
      <c r="I11" s="141">
        <f t="shared" si="2"/>
        <v>0</v>
      </c>
      <c r="J11" s="141">
        <f t="shared" si="2"/>
        <v>0</v>
      </c>
      <c r="K11" s="141">
        <f t="shared" si="2"/>
        <v>0</v>
      </c>
      <c r="L11" s="141">
        <f t="shared" si="2"/>
        <v>0</v>
      </c>
      <c r="M11" s="141">
        <f t="shared" si="2"/>
        <v>0</v>
      </c>
      <c r="N11" s="141">
        <f t="shared" si="2"/>
        <v>0</v>
      </c>
      <c r="O11" s="141">
        <f t="shared" si="2"/>
        <v>0</v>
      </c>
      <c r="P11" s="141">
        <f t="shared" si="2"/>
        <v>0</v>
      </c>
      <c r="Q11" s="141">
        <f t="shared" si="2"/>
        <v>60056.84805600001</v>
      </c>
      <c r="S11" s="61"/>
    </row>
    <row r="12" spans="1:19" ht="12.75" outlineLevel="1">
      <c r="A12" s="266" t="s">
        <v>315</v>
      </c>
      <c r="B12" s="143"/>
      <c r="C12" s="143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9"/>
      <c r="S12" s="224" t="s">
        <v>314</v>
      </c>
    </row>
    <row r="13" spans="1:19" ht="12.75" outlineLevel="1">
      <c r="A13" s="228" t="s">
        <v>318</v>
      </c>
      <c r="B13" s="142">
        <v>1</v>
      </c>
      <c r="C13" s="142">
        <f>100*Исх!$C$5/1000*1.2</f>
        <v>18.1848</v>
      </c>
      <c r="D13" s="148">
        <f>B13*C13</f>
        <v>18.1848</v>
      </c>
      <c r="E13" s="148">
        <f>$D13*0.7</f>
        <v>12.729359999999998</v>
      </c>
      <c r="F13" s="148">
        <f>$D13*0.3</f>
        <v>5.455439999999999</v>
      </c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9">
        <f>SUM(E13:P13)</f>
        <v>18.184799999999996</v>
      </c>
      <c r="S13" s="304" t="s">
        <v>319</v>
      </c>
    </row>
    <row r="14" spans="1:19" ht="25.5" outlineLevel="1">
      <c r="A14" s="301" t="s">
        <v>329</v>
      </c>
      <c r="B14" s="142">
        <v>1</v>
      </c>
      <c r="C14" s="142">
        <f>800*Исх!$C$5/1000*1.2</f>
        <v>145.4784</v>
      </c>
      <c r="D14" s="148">
        <f>B14*C14</f>
        <v>145.4784</v>
      </c>
      <c r="E14" s="148">
        <f aca="true" t="shared" si="3" ref="E14:E33">$D14*0.7</f>
        <v>101.83487999999998</v>
      </c>
      <c r="F14" s="148">
        <f aca="true" t="shared" si="4" ref="F14:F33">$D14*0.3</f>
        <v>43.643519999999995</v>
      </c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9">
        <f>SUM(E14:P14)</f>
        <v>145.47839999999997</v>
      </c>
      <c r="S14" s="304" t="s">
        <v>320</v>
      </c>
    </row>
    <row r="15" spans="1:19" ht="51" outlineLevel="1">
      <c r="A15" s="301" t="s">
        <v>330</v>
      </c>
      <c r="B15" s="142">
        <v>1</v>
      </c>
      <c r="C15" s="142">
        <f>500*Исх!$C$5/1000*1.2</f>
        <v>90.92399999999999</v>
      </c>
      <c r="D15" s="148">
        <f>B15*C15</f>
        <v>90.92399999999999</v>
      </c>
      <c r="E15" s="148">
        <f t="shared" si="3"/>
        <v>63.64679999999999</v>
      </c>
      <c r="F15" s="148">
        <f t="shared" si="4"/>
        <v>27.277199999999997</v>
      </c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9">
        <f>SUM(E15:P15)</f>
        <v>90.92399999999999</v>
      </c>
      <c r="S15" s="304"/>
    </row>
    <row r="16" spans="1:19" ht="12.75" outlineLevel="1">
      <c r="A16" s="266" t="s">
        <v>316</v>
      </c>
      <c r="B16" s="143"/>
      <c r="C16" s="143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9"/>
      <c r="S16" s="304"/>
    </row>
    <row r="17" spans="1:19" ht="12.75" customHeight="1" outlineLevel="1">
      <c r="A17" s="302" t="s">
        <v>321</v>
      </c>
      <c r="B17" s="142">
        <v>1</v>
      </c>
      <c r="C17" s="142">
        <f>35760*Исх!$C$5/1000*1.2</f>
        <v>6502.88448</v>
      </c>
      <c r="D17" s="148">
        <f aca="true" t="shared" si="5" ref="D17:D33">B17*C17</f>
        <v>6502.88448</v>
      </c>
      <c r="E17" s="148">
        <f t="shared" si="3"/>
        <v>4552.019136</v>
      </c>
      <c r="F17" s="148">
        <f t="shared" si="4"/>
        <v>1950.8653439999998</v>
      </c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9">
        <f aca="true" t="shared" si="6" ref="Q17:Q33">SUM(E17:P17)</f>
        <v>6502.88448</v>
      </c>
      <c r="S17" s="343" t="s">
        <v>322</v>
      </c>
    </row>
    <row r="18" spans="1:19" ht="25.5" outlineLevel="1">
      <c r="A18" s="301" t="s">
        <v>323</v>
      </c>
      <c r="B18" s="142">
        <v>1</v>
      </c>
      <c r="C18" s="142">
        <f>83927*Исх!$C$5/1000*1.2</f>
        <v>15261.957096</v>
      </c>
      <c r="D18" s="148">
        <f t="shared" si="5"/>
        <v>15261.957096</v>
      </c>
      <c r="E18" s="148">
        <f t="shared" si="3"/>
        <v>10683.3699672</v>
      </c>
      <c r="F18" s="148">
        <f t="shared" si="4"/>
        <v>4578.5871288</v>
      </c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9">
        <f t="shared" si="6"/>
        <v>15261.957096</v>
      </c>
      <c r="S18" s="343"/>
    </row>
    <row r="19" spans="1:19" ht="25.5" outlineLevel="1">
      <c r="A19" s="301" t="s">
        <v>331</v>
      </c>
      <c r="B19" s="142">
        <v>1</v>
      </c>
      <c r="C19" s="142">
        <f>24010*Исх!$C$5/1000*1.2</f>
        <v>4366.17048</v>
      </c>
      <c r="D19" s="148">
        <f t="shared" si="5"/>
        <v>4366.17048</v>
      </c>
      <c r="E19" s="148">
        <f t="shared" si="3"/>
        <v>3056.3193359999996</v>
      </c>
      <c r="F19" s="148">
        <f t="shared" si="4"/>
        <v>1309.851144</v>
      </c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9">
        <f t="shared" si="6"/>
        <v>4366.17048</v>
      </c>
      <c r="S19" s="343"/>
    </row>
    <row r="20" spans="1:19" ht="12.75" outlineLevel="1">
      <c r="A20" s="302" t="s">
        <v>324</v>
      </c>
      <c r="B20" s="142">
        <v>1</v>
      </c>
      <c r="C20" s="142">
        <f>3000*Исх!$C$5/1000*1.2</f>
        <v>545.544</v>
      </c>
      <c r="D20" s="148">
        <f>B20*C20</f>
        <v>545.544</v>
      </c>
      <c r="E20" s="148">
        <f t="shared" si="3"/>
        <v>381.88079999999997</v>
      </c>
      <c r="F20" s="148">
        <f t="shared" si="4"/>
        <v>163.6632</v>
      </c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9">
        <f>SUM(E20:P20)</f>
        <v>545.544</v>
      </c>
      <c r="S20" s="304" t="s">
        <v>325</v>
      </c>
    </row>
    <row r="21" spans="1:19" ht="12.75" outlineLevel="1">
      <c r="A21" s="302" t="s">
        <v>332</v>
      </c>
      <c r="B21" s="142">
        <v>1</v>
      </c>
      <c r="C21" s="142">
        <f>3500*Исх!$C$5/1000*1.2</f>
        <v>636.468</v>
      </c>
      <c r="D21" s="148">
        <f t="shared" si="5"/>
        <v>636.468</v>
      </c>
      <c r="E21" s="148">
        <f t="shared" si="3"/>
        <v>445.52759999999995</v>
      </c>
      <c r="F21" s="148">
        <f t="shared" si="4"/>
        <v>190.94039999999998</v>
      </c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9">
        <f t="shared" si="6"/>
        <v>636.468</v>
      </c>
      <c r="S21" s="304"/>
    </row>
    <row r="22" spans="1:19" ht="12.75" outlineLevel="1">
      <c r="A22" s="302" t="s">
        <v>333</v>
      </c>
      <c r="B22" s="142">
        <v>1</v>
      </c>
      <c r="C22" s="142">
        <f>27*Исх!$C$6*1.2</f>
        <v>149.364</v>
      </c>
      <c r="D22" s="148">
        <f t="shared" si="5"/>
        <v>149.364</v>
      </c>
      <c r="E22" s="148">
        <f t="shared" si="3"/>
        <v>104.5548</v>
      </c>
      <c r="F22" s="148">
        <f t="shared" si="4"/>
        <v>44.8092</v>
      </c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9">
        <f t="shared" si="6"/>
        <v>149.364</v>
      </c>
      <c r="S22" s="304"/>
    </row>
    <row r="23" spans="1:19" ht="12.75" outlineLevel="1">
      <c r="A23" s="302" t="s">
        <v>335</v>
      </c>
      <c r="B23" s="142">
        <v>1</v>
      </c>
      <c r="C23" s="142">
        <f>320*Исх!$C$6*1.2/2</f>
        <v>885.12</v>
      </c>
      <c r="D23" s="148">
        <f>B23*C23</f>
        <v>885.12</v>
      </c>
      <c r="E23" s="148">
        <f t="shared" si="3"/>
        <v>619.584</v>
      </c>
      <c r="F23" s="148">
        <f t="shared" si="4"/>
        <v>265.536</v>
      </c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9">
        <f>SUM(E23:P23)</f>
        <v>885.1199999999999</v>
      </c>
      <c r="S23" s="304"/>
    </row>
    <row r="24" spans="1:19" ht="12.75" outlineLevel="1">
      <c r="A24" s="302" t="s">
        <v>340</v>
      </c>
      <c r="B24" s="142">
        <v>1</v>
      </c>
      <c r="C24" s="142">
        <f>505*Исх!$C$6*1.2</f>
        <v>2793.6600000000003</v>
      </c>
      <c r="D24" s="148">
        <f>B24*C24</f>
        <v>2793.6600000000003</v>
      </c>
      <c r="E24" s="148">
        <f t="shared" si="3"/>
        <v>1955.5620000000001</v>
      </c>
      <c r="F24" s="148">
        <f t="shared" si="4"/>
        <v>838.0980000000001</v>
      </c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9">
        <f>SUM(E24:P24)</f>
        <v>2793.6600000000003</v>
      </c>
      <c r="S24" s="304"/>
    </row>
    <row r="25" spans="1:19" ht="12.75" outlineLevel="1">
      <c r="A25" s="302" t="s">
        <v>336</v>
      </c>
      <c r="B25" s="142">
        <v>1</v>
      </c>
      <c r="C25" s="142">
        <f>4400*Исх!$C$6*1.2/2</f>
        <v>12170.4</v>
      </c>
      <c r="D25" s="148">
        <f>B25*C25</f>
        <v>12170.4</v>
      </c>
      <c r="E25" s="148">
        <f t="shared" si="3"/>
        <v>8519.279999999999</v>
      </c>
      <c r="F25" s="148">
        <f t="shared" si="4"/>
        <v>3651.12</v>
      </c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9">
        <f>SUM(E25:P25)</f>
        <v>12170.399999999998</v>
      </c>
      <c r="S25" s="304"/>
    </row>
    <row r="26" spans="1:19" ht="12.75" outlineLevel="1">
      <c r="A26" s="302" t="s">
        <v>337</v>
      </c>
      <c r="B26" s="142">
        <v>1</v>
      </c>
      <c r="C26" s="142">
        <f>590*Исх!$C$6*1.2/2</f>
        <v>1631.94</v>
      </c>
      <c r="D26" s="148">
        <f>B26*C26</f>
        <v>1631.94</v>
      </c>
      <c r="E26" s="148">
        <f t="shared" si="3"/>
        <v>1142.358</v>
      </c>
      <c r="F26" s="148">
        <f t="shared" si="4"/>
        <v>489.582</v>
      </c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9">
        <f>SUM(E26:P26)</f>
        <v>1631.94</v>
      </c>
      <c r="S26" s="304"/>
    </row>
    <row r="27" spans="1:19" ht="12.75" outlineLevel="1">
      <c r="A27" s="302" t="s">
        <v>334</v>
      </c>
      <c r="B27" s="142">
        <v>1</v>
      </c>
      <c r="C27" s="142">
        <f>108*Исх!$C$6*1.2</f>
        <v>597.456</v>
      </c>
      <c r="D27" s="148">
        <f t="shared" si="5"/>
        <v>597.456</v>
      </c>
      <c r="E27" s="148">
        <f t="shared" si="3"/>
        <v>418.2192</v>
      </c>
      <c r="F27" s="148">
        <f t="shared" si="4"/>
        <v>179.2368</v>
      </c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9">
        <f t="shared" si="6"/>
        <v>597.456</v>
      </c>
      <c r="S27" s="304"/>
    </row>
    <row r="28" spans="1:19" ht="12.75" outlineLevel="1">
      <c r="A28" s="302" t="s">
        <v>339</v>
      </c>
      <c r="B28" s="142">
        <v>1</v>
      </c>
      <c r="C28" s="142">
        <f>1100*Исх!$C$6*1.2/4</f>
        <v>1521.3</v>
      </c>
      <c r="D28" s="148">
        <f t="shared" si="5"/>
        <v>1521.3</v>
      </c>
      <c r="E28" s="148">
        <f t="shared" si="3"/>
        <v>1064.9099999999999</v>
      </c>
      <c r="F28" s="148">
        <f t="shared" si="4"/>
        <v>456.39</v>
      </c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9">
        <f t="shared" si="6"/>
        <v>1521.2999999999997</v>
      </c>
      <c r="S28" s="304"/>
    </row>
    <row r="29" spans="1:19" ht="12.75" outlineLevel="1">
      <c r="A29" s="301" t="s">
        <v>338</v>
      </c>
      <c r="B29" s="142">
        <v>1</v>
      </c>
      <c r="C29" s="142">
        <f>1608*Исх!$C$6*1.2/2</f>
        <v>4447.728</v>
      </c>
      <c r="D29" s="148">
        <f t="shared" si="5"/>
        <v>4447.728</v>
      </c>
      <c r="E29" s="148">
        <f t="shared" si="3"/>
        <v>3113.4096</v>
      </c>
      <c r="F29" s="148">
        <f t="shared" si="4"/>
        <v>1334.3183999999999</v>
      </c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9">
        <f t="shared" si="6"/>
        <v>4447.728</v>
      </c>
      <c r="S29" s="304"/>
    </row>
    <row r="30" spans="1:19" ht="12.75" outlineLevel="1">
      <c r="A30" s="303" t="s">
        <v>317</v>
      </c>
      <c r="B30" s="143"/>
      <c r="C30" s="143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9"/>
      <c r="S30" s="304"/>
    </row>
    <row r="31" spans="1:19" ht="12.75" outlineLevel="1">
      <c r="A31" s="302" t="s">
        <v>326</v>
      </c>
      <c r="B31" s="142">
        <v>1</v>
      </c>
      <c r="C31" s="142">
        <f>6000*Исх!$C$5/1000*1.2</f>
        <v>1091.088</v>
      </c>
      <c r="D31" s="148">
        <f t="shared" si="5"/>
        <v>1091.088</v>
      </c>
      <c r="E31" s="148">
        <f t="shared" si="3"/>
        <v>763.7615999999999</v>
      </c>
      <c r="F31" s="148">
        <f t="shared" si="4"/>
        <v>327.3264</v>
      </c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9">
        <f t="shared" si="6"/>
        <v>1091.088</v>
      </c>
      <c r="S31" s="304" t="s">
        <v>325</v>
      </c>
    </row>
    <row r="32" spans="1:19" ht="12.75" outlineLevel="1">
      <c r="A32" s="302" t="s">
        <v>327</v>
      </c>
      <c r="B32" s="142">
        <v>1</v>
      </c>
      <c r="C32" s="142">
        <f>12600*Исх!$C$5/1000*1.2</f>
        <v>2291.2848</v>
      </c>
      <c r="D32" s="148">
        <f>B32*C32</f>
        <v>2291.2848</v>
      </c>
      <c r="E32" s="148">
        <f t="shared" si="3"/>
        <v>1603.89936</v>
      </c>
      <c r="F32" s="148">
        <f t="shared" si="4"/>
        <v>687.3854399999999</v>
      </c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9">
        <f>SUM(E32:P32)</f>
        <v>2291.2848</v>
      </c>
      <c r="S32" s="304"/>
    </row>
    <row r="33" spans="1:19" ht="12.75" outlineLevel="1">
      <c r="A33" s="301" t="s">
        <v>328</v>
      </c>
      <c r="B33" s="142">
        <v>1</v>
      </c>
      <c r="C33" s="142">
        <f>27000*Исх!$C$5/1000*1.2</f>
        <v>4909.896</v>
      </c>
      <c r="D33" s="148">
        <f t="shared" si="5"/>
        <v>4909.896</v>
      </c>
      <c r="E33" s="148">
        <f t="shared" si="3"/>
        <v>3436.9271999999996</v>
      </c>
      <c r="F33" s="148">
        <f t="shared" si="4"/>
        <v>1472.9687999999999</v>
      </c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9">
        <f t="shared" si="6"/>
        <v>4909.896</v>
      </c>
      <c r="S33" s="304"/>
    </row>
    <row r="34" spans="1:17" ht="12.75">
      <c r="A34" s="138" t="s">
        <v>0</v>
      </c>
      <c r="B34" s="162"/>
      <c r="C34" s="162"/>
      <c r="D34" s="162">
        <f aca="true" t="shared" si="7" ref="D34:Q34">D5+D8+D11</f>
        <v>60056.84805600002</v>
      </c>
      <c r="E34" s="162">
        <f t="shared" si="7"/>
        <v>42039.7936392</v>
      </c>
      <c r="F34" s="162">
        <f t="shared" si="7"/>
        <v>18017.054416799998</v>
      </c>
      <c r="G34" s="162">
        <f t="shared" si="7"/>
        <v>0</v>
      </c>
      <c r="H34" s="162">
        <f t="shared" si="7"/>
        <v>0</v>
      </c>
      <c r="I34" s="162">
        <f t="shared" si="7"/>
        <v>0</v>
      </c>
      <c r="J34" s="162">
        <f t="shared" si="7"/>
        <v>0</v>
      </c>
      <c r="K34" s="162">
        <f t="shared" si="7"/>
        <v>0</v>
      </c>
      <c r="L34" s="162">
        <f t="shared" si="7"/>
        <v>0</v>
      </c>
      <c r="M34" s="162">
        <f t="shared" si="7"/>
        <v>0</v>
      </c>
      <c r="N34" s="162">
        <f t="shared" si="7"/>
        <v>0</v>
      </c>
      <c r="O34" s="162">
        <f t="shared" si="7"/>
        <v>0</v>
      </c>
      <c r="P34" s="162">
        <f t="shared" si="7"/>
        <v>0</v>
      </c>
      <c r="Q34" s="162">
        <f t="shared" si="7"/>
        <v>60056.84805600001</v>
      </c>
    </row>
    <row r="35" ht="12.75">
      <c r="D35" s="197">
        <f>D34-Q34</f>
        <v>0</v>
      </c>
    </row>
    <row r="36" spans="2:4" ht="12.75">
      <c r="B36" s="144" t="s">
        <v>57</v>
      </c>
      <c r="C36" s="197" t="s">
        <v>40</v>
      </c>
      <c r="D36" s="204" t="s">
        <v>97</v>
      </c>
    </row>
    <row r="37" spans="1:12" ht="12.75">
      <c r="A37" s="71" t="s">
        <v>111</v>
      </c>
      <c r="B37" s="197">
        <f>Q5</f>
        <v>0</v>
      </c>
      <c r="C37" s="197">
        <f>B37/Исх!$C$20</f>
        <v>0</v>
      </c>
      <c r="D37" s="163">
        <f>B37/Исх!$C$5</f>
        <v>0</v>
      </c>
      <c r="L37" s="168"/>
    </row>
    <row r="38" spans="1:12" ht="12.75">
      <c r="A38" s="71" t="s">
        <v>105</v>
      </c>
      <c r="B38" s="197">
        <f>Q8</f>
        <v>0</v>
      </c>
      <c r="C38" s="197">
        <f>B38/Исх!$C$20</f>
        <v>0</v>
      </c>
      <c r="D38" s="163">
        <f>B38/Исх!$C$5</f>
        <v>0</v>
      </c>
      <c r="L38" s="168"/>
    </row>
    <row r="39" spans="1:12" ht="12.75">
      <c r="A39" s="71" t="s">
        <v>195</v>
      </c>
      <c r="B39" s="197">
        <f>Q11</f>
        <v>60056.84805600001</v>
      </c>
      <c r="C39" s="197">
        <f>B39/Исх!$C$20</f>
        <v>60056.84805600001</v>
      </c>
      <c r="D39" s="163">
        <f>B39/Исх!$C$5</f>
        <v>396.3102022964235</v>
      </c>
      <c r="L39" s="168"/>
    </row>
    <row r="40" spans="1:4" ht="12.75">
      <c r="A40" s="61" t="s">
        <v>86</v>
      </c>
      <c r="B40" s="205">
        <f>SUM(B37:B39)</f>
        <v>60056.84805600001</v>
      </c>
      <c r="C40" s="205">
        <f>SUM(C37:C39)</f>
        <v>60056.84805600001</v>
      </c>
      <c r="D40" s="281">
        <f>SUM(D37:D39)</f>
        <v>396.3102022964235</v>
      </c>
    </row>
    <row r="43" spans="1:17" ht="12.75">
      <c r="A43" s="74" t="s">
        <v>246</v>
      </c>
      <c r="B43" s="293">
        <f>Исх!C25*Исх!C30/10</f>
        <v>47.432</v>
      </c>
      <c r="C43" s="148">
        <f>Исх!C33</f>
        <v>68.26104</v>
      </c>
      <c r="D43" s="149">
        <f>B43*C43</f>
        <v>3237.75764928</v>
      </c>
      <c r="E43" s="74"/>
      <c r="F43" s="148">
        <f>D43</f>
        <v>3237.75764928</v>
      </c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149">
        <f>SUM(E43:P43)</f>
        <v>3237.75764928</v>
      </c>
    </row>
  </sheetData>
  <sheetProtection/>
  <mergeCells count="6">
    <mergeCell ref="E3:P3"/>
    <mergeCell ref="A3:A4"/>
    <mergeCell ref="B3:B4"/>
    <mergeCell ref="C3:C4"/>
    <mergeCell ref="D3:D4"/>
    <mergeCell ref="S17:S19"/>
  </mergeCells>
  <hyperlinks>
    <hyperlink ref="S12" r:id="rId1" display="http://caspiy.6te.net/simple/index.php?page=q3-1"/>
  </hyperlinks>
  <printOptions/>
  <pageMargins left="0.48" right="0.2362204724409449" top="0.69" bottom="0.2755905511811024" header="0.52" footer="0.1968503937007874"/>
  <pageSetup horizontalDpi="600" verticalDpi="600" orientation="landscape" paperSize="9" scale="96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I13"/>
  <sheetViews>
    <sheetView showGridLines="0" zoomScalePageLayoutView="0" workbookViewId="0" topLeftCell="A1">
      <pane ySplit="3" topLeftCell="A4" activePane="bottomLeft" state="frozen"/>
      <selection pane="topLeft" activeCell="A34" sqref="A34"/>
      <selection pane="bottomLeft" activeCell="A7" sqref="A7"/>
    </sheetView>
  </sheetViews>
  <sheetFormatPr defaultColWidth="9.00390625" defaultRowHeight="12.75"/>
  <cols>
    <col min="1" max="1" width="38.625" style="71" customWidth="1"/>
    <col min="2" max="2" width="9.125" style="71" customWidth="1"/>
    <col min="3" max="16384" width="9.125" style="71" customWidth="1"/>
  </cols>
  <sheetData>
    <row r="1" spans="1:6" ht="12.75">
      <c r="A1" s="61" t="s">
        <v>72</v>
      </c>
      <c r="B1" s="61"/>
      <c r="C1" s="61"/>
      <c r="D1" s="61"/>
      <c r="E1" s="61"/>
      <c r="F1" s="61"/>
    </row>
    <row r="2" spans="1:9" ht="12.75">
      <c r="A2" s="206"/>
      <c r="B2" s="206"/>
      <c r="C2" s="206"/>
      <c r="D2" s="206"/>
      <c r="E2" s="206"/>
      <c r="F2" s="206"/>
      <c r="I2" s="144" t="str">
        <f>Исх!$C$9</f>
        <v>тыс.тг.</v>
      </c>
    </row>
    <row r="3" spans="1:9" ht="12.75">
      <c r="A3" s="217" t="s">
        <v>8</v>
      </c>
      <c r="B3" s="226">
        <v>2014</v>
      </c>
      <c r="C3" s="226">
        <f aca="true" t="shared" si="0" ref="C3:I3">B3+1</f>
        <v>2015</v>
      </c>
      <c r="D3" s="226">
        <f t="shared" si="0"/>
        <v>2016</v>
      </c>
      <c r="E3" s="226">
        <f t="shared" si="0"/>
        <v>2017</v>
      </c>
      <c r="F3" s="226">
        <f t="shared" si="0"/>
        <v>2018</v>
      </c>
      <c r="G3" s="226">
        <f t="shared" si="0"/>
        <v>2019</v>
      </c>
      <c r="H3" s="226">
        <f t="shared" si="0"/>
        <v>2020</v>
      </c>
      <c r="I3" s="226">
        <f t="shared" si="0"/>
        <v>2021</v>
      </c>
    </row>
    <row r="4" spans="1:9" ht="12.75">
      <c r="A4" s="207" t="s">
        <v>356</v>
      </c>
      <c r="B4" s="208">
        <f>'2-ф2'!P5</f>
        <v>12264.23352</v>
      </c>
      <c r="C4" s="208">
        <f>'2-ф2'!AC5</f>
        <v>55189.05083999999</v>
      </c>
      <c r="D4" s="208">
        <f>'2-ф2'!AD5</f>
        <v>58623.03622559999</v>
      </c>
      <c r="E4" s="208">
        <f>'2-ф2'!AE5</f>
        <v>58623.03622559999</v>
      </c>
      <c r="F4" s="208">
        <f>'2-ф2'!AF5</f>
        <v>58623.03622559999</v>
      </c>
      <c r="G4" s="208">
        <f>'2-ф2'!AG5</f>
        <v>58623.03622559999</v>
      </c>
      <c r="H4" s="208">
        <f>'2-ф2'!AH5</f>
        <v>58623.03622559999</v>
      </c>
      <c r="I4" s="208">
        <f>'2-ф2'!AI5</f>
        <v>58623.03622559999</v>
      </c>
    </row>
    <row r="5" spans="1:9" ht="12.75">
      <c r="A5" s="207" t="s">
        <v>87</v>
      </c>
      <c r="B5" s="209">
        <f aca="true" t="shared" si="1" ref="B5:H5">B4-B6</f>
        <v>-6989.838738745684</v>
      </c>
      <c r="C5" s="209">
        <f t="shared" si="1"/>
        <v>7438.99923318364</v>
      </c>
      <c r="D5" s="209">
        <f t="shared" si="1"/>
        <v>9494.622279585434</v>
      </c>
      <c r="E5" s="209">
        <f t="shared" si="1"/>
        <v>10239.018570010652</v>
      </c>
      <c r="F5" s="209">
        <f t="shared" si="1"/>
        <v>10983.414860435878</v>
      </c>
      <c r="G5" s="209">
        <f t="shared" si="1"/>
        <v>11727.811150861104</v>
      </c>
      <c r="H5" s="209">
        <f t="shared" si="1"/>
        <v>12472.20744128633</v>
      </c>
      <c r="I5" s="209">
        <f>I4-I6</f>
        <v>12875.422098599985</v>
      </c>
    </row>
    <row r="6" spans="1:9" ht="12.75">
      <c r="A6" s="207" t="s">
        <v>357</v>
      </c>
      <c r="B6" s="210">
        <f aca="true" t="shared" si="2" ref="B6:H6">SUM(B7:B8)</f>
        <v>19254.072258745684</v>
      </c>
      <c r="C6" s="210">
        <f t="shared" si="2"/>
        <v>47750.05160681635</v>
      </c>
      <c r="D6" s="210">
        <f t="shared" si="2"/>
        <v>49128.41394601456</v>
      </c>
      <c r="E6" s="210">
        <f t="shared" si="2"/>
        <v>48384.01765558934</v>
      </c>
      <c r="F6" s="210">
        <f t="shared" si="2"/>
        <v>47639.621365164116</v>
      </c>
      <c r="G6" s="210">
        <f t="shared" si="2"/>
        <v>46895.22507473889</v>
      </c>
      <c r="H6" s="210">
        <f t="shared" si="2"/>
        <v>46150.828784313664</v>
      </c>
      <c r="I6" s="210">
        <f>SUM(I7:I8)</f>
        <v>45747.61412700001</v>
      </c>
    </row>
    <row r="7" spans="1:9" ht="12.75">
      <c r="A7" s="207" t="s">
        <v>88</v>
      </c>
      <c r="B7" s="208">
        <f>'2-ф2'!P18+'2-ф2'!P17+'2-ф2'!P16</f>
        <v>11672.791438662</v>
      </c>
      <c r="C7" s="208">
        <f>'2-ф2'!AC18+'2-ф2'!AC17+'2-ф2'!AC16</f>
        <v>13634.28791643978</v>
      </c>
      <c r="D7" s="208">
        <f>'2-ф2'!AD18+'2-ф2'!AD17+'2-ф2'!AD16</f>
        <v>12889.891626014558</v>
      </c>
      <c r="E7" s="208">
        <f>'2-ф2'!AE18+'2-ф2'!AE17+'2-ф2'!AE16</f>
        <v>12145.495335589334</v>
      </c>
      <c r="F7" s="208">
        <f>'2-ф2'!AF18+'2-ф2'!AF17+'2-ф2'!AF16</f>
        <v>11401.09904516411</v>
      </c>
      <c r="G7" s="208">
        <f>'2-ф2'!AG18+'2-ф2'!AG17+'2-ф2'!AG16</f>
        <v>10656.702754738886</v>
      </c>
      <c r="H7" s="208">
        <f>'2-ф2'!AH18+'2-ф2'!AH17+'2-ф2'!AH16</f>
        <v>9912.306464313662</v>
      </c>
      <c r="I7" s="208">
        <f>'2-ф2'!AI18+'2-ф2'!AI17+'2-ф2'!AI16</f>
        <v>9509.091807</v>
      </c>
    </row>
    <row r="8" spans="1:9" ht="12.75">
      <c r="A8" s="207" t="s">
        <v>89</v>
      </c>
      <c r="B8" s="208">
        <f>'2-ф2'!P7</f>
        <v>7581.280820083683</v>
      </c>
      <c r="C8" s="208">
        <f>'2-ф2'!AC7</f>
        <v>34115.76369037657</v>
      </c>
      <c r="D8" s="208">
        <f>'2-ф2'!AD7</f>
        <v>36238.522320000004</v>
      </c>
      <c r="E8" s="208">
        <f>'2-ф2'!AE7</f>
        <v>36238.522320000004</v>
      </c>
      <c r="F8" s="208">
        <f>'2-ф2'!AF7</f>
        <v>36238.522320000004</v>
      </c>
      <c r="G8" s="208">
        <f>'2-ф2'!AG7</f>
        <v>36238.522320000004</v>
      </c>
      <c r="H8" s="208">
        <f>'2-ф2'!AH7</f>
        <v>36238.522320000004</v>
      </c>
      <c r="I8" s="208">
        <f>'2-ф2'!AI7</f>
        <v>36238.522320000004</v>
      </c>
    </row>
    <row r="9" spans="1:9" ht="12.75">
      <c r="A9" s="207" t="s">
        <v>90</v>
      </c>
      <c r="B9" s="210">
        <f aca="true" t="shared" si="3" ref="B9:H9">B4-B8</f>
        <v>4682.952699916317</v>
      </c>
      <c r="C9" s="210">
        <f t="shared" si="3"/>
        <v>21073.287149623422</v>
      </c>
      <c r="D9" s="210">
        <f t="shared" si="3"/>
        <v>22384.51390559999</v>
      </c>
      <c r="E9" s="210">
        <f t="shared" si="3"/>
        <v>22384.51390559999</v>
      </c>
      <c r="F9" s="210">
        <f t="shared" si="3"/>
        <v>22384.51390559999</v>
      </c>
      <c r="G9" s="210">
        <f t="shared" si="3"/>
        <v>22384.51390559999</v>
      </c>
      <c r="H9" s="210">
        <f t="shared" si="3"/>
        <v>22384.51390559999</v>
      </c>
      <c r="I9" s="210">
        <f>I4-I8</f>
        <v>22384.51390559999</v>
      </c>
    </row>
    <row r="10" spans="1:9" ht="12.75">
      <c r="A10" s="207" t="s">
        <v>73</v>
      </c>
      <c r="B10" s="211">
        <f aca="true" t="shared" si="4" ref="B10:H10">B9/B4</f>
        <v>0.3818381876274252</v>
      </c>
      <c r="C10" s="211">
        <f t="shared" si="4"/>
        <v>0.38183818762742516</v>
      </c>
      <c r="D10" s="211">
        <f t="shared" si="4"/>
        <v>0.3818381876274251</v>
      </c>
      <c r="E10" s="211">
        <f t="shared" si="4"/>
        <v>0.3818381876274251</v>
      </c>
      <c r="F10" s="211">
        <f t="shared" si="4"/>
        <v>0.3818381876274251</v>
      </c>
      <c r="G10" s="211">
        <f t="shared" si="4"/>
        <v>0.3818381876274251</v>
      </c>
      <c r="H10" s="211">
        <f t="shared" si="4"/>
        <v>0.3818381876274251</v>
      </c>
      <c r="I10" s="211">
        <f>I9/I4</f>
        <v>0.3818381876274251</v>
      </c>
    </row>
    <row r="11" spans="1:9" ht="12.75">
      <c r="A11" s="207" t="s">
        <v>91</v>
      </c>
      <c r="B11" s="210">
        <f aca="true" t="shared" si="5" ref="B11:H11">B7/B10</f>
        <v>30569.994874508488</v>
      </c>
      <c r="C11" s="210">
        <f t="shared" si="5"/>
        <v>35706.978396155864</v>
      </c>
      <c r="D11" s="210">
        <f t="shared" si="5"/>
        <v>33757.47121079399</v>
      </c>
      <c r="E11" s="210">
        <f t="shared" si="5"/>
        <v>31807.96402543211</v>
      </c>
      <c r="F11" s="210">
        <f t="shared" si="5"/>
        <v>29858.456840070226</v>
      </c>
      <c r="G11" s="210">
        <f t="shared" si="5"/>
        <v>27908.949654708344</v>
      </c>
      <c r="H11" s="210">
        <f t="shared" si="5"/>
        <v>25959.44246934646</v>
      </c>
      <c r="I11" s="210">
        <f>I7/I10</f>
        <v>24903.45941060878</v>
      </c>
    </row>
    <row r="12" spans="1:9" ht="25.5">
      <c r="A12" s="212" t="s">
        <v>74</v>
      </c>
      <c r="B12" s="213">
        <f aca="true" t="shared" si="6" ref="B12:H12">(B4-B11)/B4</f>
        <v>-1.4926135681170958</v>
      </c>
      <c r="C12" s="213">
        <f t="shared" si="6"/>
        <v>0.3530061152949542</v>
      </c>
      <c r="D12" s="213">
        <f t="shared" si="6"/>
        <v>0.4241603065237945</v>
      </c>
      <c r="E12" s="213">
        <f t="shared" si="6"/>
        <v>0.4574152743807912</v>
      </c>
      <c r="F12" s="213">
        <f t="shared" si="6"/>
        <v>0.49067024223778793</v>
      </c>
      <c r="G12" s="213">
        <f t="shared" si="6"/>
        <v>0.5239252100947847</v>
      </c>
      <c r="H12" s="213">
        <f t="shared" si="6"/>
        <v>0.5571801779517814</v>
      </c>
      <c r="I12" s="213">
        <f>(I4-I11)/I4</f>
        <v>0.5751932855409879</v>
      </c>
    </row>
    <row r="13" spans="1:9" ht="12.75">
      <c r="A13" s="207" t="s">
        <v>103</v>
      </c>
      <c r="B13" s="214">
        <f aca="true" t="shared" si="7" ref="B13:H13">100%-B12</f>
        <v>2.492613568117096</v>
      </c>
      <c r="C13" s="214">
        <f t="shared" si="7"/>
        <v>0.6469938847050458</v>
      </c>
      <c r="D13" s="214">
        <f t="shared" si="7"/>
        <v>0.5758396934762056</v>
      </c>
      <c r="E13" s="214">
        <f t="shared" si="7"/>
        <v>0.5425847256192088</v>
      </c>
      <c r="F13" s="214">
        <f t="shared" si="7"/>
        <v>0.509329757762212</v>
      </c>
      <c r="G13" s="214">
        <f t="shared" si="7"/>
        <v>0.47607478990521535</v>
      </c>
      <c r="H13" s="214">
        <f t="shared" si="7"/>
        <v>0.44281982204821857</v>
      </c>
      <c r="I13" s="214">
        <f>100%-I12</f>
        <v>0.4248067144590121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O67"/>
  <sheetViews>
    <sheetView showGridLines="0" tabSelected="1" zoomScalePageLayoutView="0" workbookViewId="0" topLeftCell="A1">
      <pane ySplit="4" topLeftCell="A5" activePane="bottomLeft" state="frozen"/>
      <selection pane="topLeft" activeCell="A34" sqref="A34"/>
      <selection pane="bottomLeft" activeCell="A22" sqref="A22"/>
    </sheetView>
  </sheetViews>
  <sheetFormatPr defaultColWidth="9.00390625" defaultRowHeight="12.75"/>
  <cols>
    <col min="1" max="1" width="48.75390625" style="242" customWidth="1"/>
    <col min="2" max="2" width="16.00390625" style="243" customWidth="1"/>
    <col min="3" max="3" width="12.375" style="244" customWidth="1"/>
    <col min="4" max="4" width="8.25390625" style="244" customWidth="1"/>
    <col min="5" max="9" width="6.625" style="244" bestFit="1" customWidth="1"/>
    <col min="10" max="11" width="4.875" style="244" bestFit="1" customWidth="1"/>
    <col min="12" max="12" width="4.00390625" style="244" bestFit="1" customWidth="1"/>
    <col min="13" max="13" width="4.25390625" style="244" bestFit="1" customWidth="1"/>
    <col min="14" max="14" width="4.00390625" style="244" bestFit="1" customWidth="1"/>
    <col min="15" max="15" width="4.375" style="244" bestFit="1" customWidth="1"/>
    <col min="16" max="16384" width="9.125" style="244" customWidth="1"/>
  </cols>
  <sheetData>
    <row r="1" ht="13.5" customHeight="1">
      <c r="A1" s="259" t="s">
        <v>247</v>
      </c>
    </row>
    <row r="2" ht="13.5" customHeight="1">
      <c r="A2" s="259" t="s">
        <v>349</v>
      </c>
    </row>
    <row r="3" ht="13.5" customHeight="1"/>
    <row r="4" spans="1:3" ht="13.5" customHeight="1">
      <c r="A4" s="245" t="s">
        <v>205</v>
      </c>
      <c r="B4" s="246" t="s">
        <v>220</v>
      </c>
      <c r="C4" s="246" t="s">
        <v>172</v>
      </c>
    </row>
    <row r="5" spans="1:3" ht="13.5" customHeight="1">
      <c r="A5" s="247" t="s">
        <v>171</v>
      </c>
      <c r="B5" s="248">
        <f>'1-Ф3'!B26</f>
        <v>63294.605705279995</v>
      </c>
      <c r="C5" s="254">
        <f>B5/$B$7</f>
        <v>0.6431548045431061</v>
      </c>
    </row>
    <row r="6" spans="1:3" ht="13.5" customHeight="1">
      <c r="A6" s="247" t="s">
        <v>170</v>
      </c>
      <c r="B6" s="248">
        <f>'1-Ф3'!B32-'1-Ф3'!B26</f>
        <v>35118.10187022223</v>
      </c>
      <c r="C6" s="254">
        <f>B6/$B$7</f>
        <v>0.35684519545689386</v>
      </c>
    </row>
    <row r="7" spans="1:3" ht="13.5" customHeight="1">
      <c r="A7" s="249" t="s">
        <v>86</v>
      </c>
      <c r="B7" s="250">
        <f>SUM(B5:B6)</f>
        <v>98412.70757550222</v>
      </c>
      <c r="C7" s="255">
        <f>SUM(C5:C6)</f>
        <v>1</v>
      </c>
    </row>
    <row r="8" spans="1:2" ht="13.5" customHeight="1">
      <c r="A8" s="251"/>
      <c r="B8" s="252"/>
    </row>
    <row r="9" spans="1:4" ht="13.5" customHeight="1">
      <c r="A9" s="245" t="s">
        <v>206</v>
      </c>
      <c r="B9" s="246" t="s">
        <v>220</v>
      </c>
      <c r="C9" s="246" t="s">
        <v>8</v>
      </c>
      <c r="D9" s="246" t="s">
        <v>172</v>
      </c>
    </row>
    <row r="10" spans="1:7" ht="13.5" customHeight="1">
      <c r="A10" s="247" t="s">
        <v>208</v>
      </c>
      <c r="B10" s="248">
        <f>'1-Ф3'!B33</f>
        <v>38355.85951950222</v>
      </c>
      <c r="C10" s="253" t="s">
        <v>351</v>
      </c>
      <c r="D10" s="254">
        <f>B10/$B$12</f>
        <v>0.389744987862219</v>
      </c>
      <c r="F10" s="265"/>
      <c r="G10" s="265"/>
    </row>
    <row r="11" spans="1:7" ht="12.75">
      <c r="A11" s="247" t="s">
        <v>104</v>
      </c>
      <c r="B11" s="248">
        <f>'1-Ф3'!B34</f>
        <v>60056.848055999995</v>
      </c>
      <c r="C11" s="264" t="s">
        <v>350</v>
      </c>
      <c r="D11" s="254">
        <f>B11/$B$12</f>
        <v>0.6102550121377809</v>
      </c>
      <c r="F11" s="265"/>
      <c r="G11" s="265"/>
    </row>
    <row r="12" spans="1:4" ht="12.75">
      <c r="A12" s="249" t="s">
        <v>86</v>
      </c>
      <c r="B12" s="250">
        <f>SUM(B10:B11)</f>
        <v>98412.70757550222</v>
      </c>
      <c r="C12" s="250"/>
      <c r="D12" s="255">
        <f>SUM(D10:D11)</f>
        <v>0.9999999999999999</v>
      </c>
    </row>
    <row r="13" spans="1:2" ht="12.75">
      <c r="A13" s="256"/>
      <c r="B13" s="257"/>
    </row>
    <row r="14" spans="1:2" ht="12.75">
      <c r="A14" s="245" t="s">
        <v>152</v>
      </c>
      <c r="B14" s="246" t="s">
        <v>7</v>
      </c>
    </row>
    <row r="15" spans="1:2" ht="12.75">
      <c r="A15" s="247" t="s">
        <v>173</v>
      </c>
      <c r="B15" s="248" t="s">
        <v>174</v>
      </c>
    </row>
    <row r="16" spans="1:2" ht="12.75">
      <c r="A16" s="247" t="s">
        <v>175</v>
      </c>
      <c r="B16" s="254">
        <f>Исх!C41</f>
        <v>0.07</v>
      </c>
    </row>
    <row r="17" spans="1:2" ht="12.75">
      <c r="A17" s="247" t="s">
        <v>201</v>
      </c>
      <c r="B17" s="258">
        <f>Исх!C42</f>
        <v>7</v>
      </c>
    </row>
    <row r="18" spans="1:2" ht="12.75">
      <c r="A18" s="247" t="s">
        <v>176</v>
      </c>
      <c r="B18" s="248" t="s">
        <v>177</v>
      </c>
    </row>
    <row r="19" spans="1:2" ht="12.75">
      <c r="A19" s="247" t="s">
        <v>179</v>
      </c>
      <c r="B19" s="248">
        <f>Исх!C43</f>
        <v>12</v>
      </c>
    </row>
    <row r="20" spans="1:2" ht="12.75">
      <c r="A20" s="247" t="s">
        <v>180</v>
      </c>
      <c r="B20" s="248">
        <f>Исх!C44</f>
        <v>12</v>
      </c>
    </row>
    <row r="21" spans="1:2" ht="12.75">
      <c r="A21" s="247" t="s">
        <v>358</v>
      </c>
      <c r="B21" s="248" t="s">
        <v>178</v>
      </c>
    </row>
    <row r="23" spans="1:9" ht="12.75">
      <c r="A23" s="262" t="s">
        <v>209</v>
      </c>
      <c r="B23" s="246">
        <v>2014</v>
      </c>
      <c r="C23" s="246">
        <f>B23+1</f>
        <v>2015</v>
      </c>
      <c r="D23" s="246">
        <f aca="true" t="shared" si="0" ref="D23:I23">C23+1</f>
        <v>2016</v>
      </c>
      <c r="E23" s="246">
        <f t="shared" si="0"/>
        <v>2017</v>
      </c>
      <c r="F23" s="246">
        <f t="shared" si="0"/>
        <v>2018</v>
      </c>
      <c r="G23" s="246">
        <f t="shared" si="0"/>
        <v>2019</v>
      </c>
      <c r="H23" s="246">
        <f t="shared" si="0"/>
        <v>2020</v>
      </c>
      <c r="I23" s="246">
        <f t="shared" si="0"/>
        <v>2021</v>
      </c>
    </row>
    <row r="24" spans="1:9" ht="12.75">
      <c r="A24" s="274" t="s">
        <v>248</v>
      </c>
      <c r="B24" s="248">
        <f>'2-ф2'!P5</f>
        <v>12264.23352</v>
      </c>
      <c r="C24" s="248">
        <f>'2-ф2'!AC5</f>
        <v>55189.05083999999</v>
      </c>
      <c r="D24" s="248">
        <f>'2-ф2'!AD5</f>
        <v>58623.03622559999</v>
      </c>
      <c r="E24" s="248">
        <f>'2-ф2'!AE5</f>
        <v>58623.03622559999</v>
      </c>
      <c r="F24" s="248">
        <f>'2-ф2'!AF5</f>
        <v>58623.03622559999</v>
      </c>
      <c r="G24" s="248">
        <f>'2-ф2'!AG5</f>
        <v>58623.03622559999</v>
      </c>
      <c r="H24" s="248">
        <f>'2-ф2'!AH5</f>
        <v>58623.03622559999</v>
      </c>
      <c r="I24" s="248">
        <f>'2-ф2'!AI5</f>
        <v>58623.03622559999</v>
      </c>
    </row>
    <row r="25" spans="1:9" ht="12.75">
      <c r="A25" s="274" t="s">
        <v>249</v>
      </c>
      <c r="B25" s="248">
        <f>'2-ф2'!P15</f>
        <v>4682.952699916317</v>
      </c>
      <c r="C25" s="248">
        <f>'2-ф2'!AC15</f>
        <v>21073.287149623422</v>
      </c>
      <c r="D25" s="248">
        <f>'2-ф2'!AD15</f>
        <v>22384.51390559999</v>
      </c>
      <c r="E25" s="248">
        <f>'2-ф2'!AE15</f>
        <v>22384.51390559999</v>
      </c>
      <c r="F25" s="248">
        <f>'2-ф2'!AF15</f>
        <v>22384.51390559999</v>
      </c>
      <c r="G25" s="248">
        <f>'2-ф2'!AG15</f>
        <v>22384.51390559999</v>
      </c>
      <c r="H25" s="248">
        <f>'2-ф2'!AH15</f>
        <v>22384.51390559999</v>
      </c>
      <c r="I25" s="248">
        <f>'2-ф2'!AI15</f>
        <v>22384.51390559999</v>
      </c>
    </row>
    <row r="26" spans="1:9" ht="12.75">
      <c r="A26" s="274" t="s">
        <v>250</v>
      </c>
      <c r="B26" s="248">
        <f>'2-ф2'!P21</f>
        <v>-6997.36651652346</v>
      </c>
      <c r="C26" s="248">
        <f>'2-ф2'!AC21</f>
        <v>7429.96589985031</v>
      </c>
      <c r="D26" s="248">
        <f>'2-ф2'!AD21</f>
        <v>9485.5889462521</v>
      </c>
      <c r="E26" s="248">
        <f>'2-ф2'!AE21</f>
        <v>10229.985236677323</v>
      </c>
      <c r="F26" s="248">
        <f>'2-ф2'!AF21</f>
        <v>10974.381527102549</v>
      </c>
      <c r="G26" s="248">
        <f>'2-ф2'!AG21</f>
        <v>11718.77781752777</v>
      </c>
      <c r="H26" s="248">
        <f>'2-ф2'!AH21</f>
        <v>12463.174107952993</v>
      </c>
      <c r="I26" s="248">
        <f>'2-ф2'!AI21</f>
        <v>12866.388765266656</v>
      </c>
    </row>
    <row r="27" spans="1:9" ht="12.75">
      <c r="A27" s="274" t="s">
        <v>251</v>
      </c>
      <c r="B27" s="254"/>
      <c r="C27" s="254">
        <f aca="true" t="shared" si="1" ref="C27:I27">C26/C24</f>
        <v>0.13462753547602616</v>
      </c>
      <c r="D27" s="254">
        <f t="shared" si="1"/>
        <v>0.16180651083557926</v>
      </c>
      <c r="E27" s="254">
        <f t="shared" si="1"/>
        <v>0.17450452749170314</v>
      </c>
      <c r="F27" s="254">
        <f t="shared" si="1"/>
        <v>0.18720254414782708</v>
      </c>
      <c r="G27" s="254">
        <f t="shared" si="1"/>
        <v>0.19990056080395094</v>
      </c>
      <c r="H27" s="254">
        <f t="shared" si="1"/>
        <v>0.21259857746007482</v>
      </c>
      <c r="I27" s="254">
        <f t="shared" si="1"/>
        <v>0.21947666981547528</v>
      </c>
    </row>
    <row r="28" spans="1:9" ht="12.75">
      <c r="A28" s="275" t="s">
        <v>252</v>
      </c>
      <c r="B28" s="248">
        <f>'1-Ф3'!P39</f>
        <v>9467.96379244444</v>
      </c>
      <c r="C28" s="248">
        <f>'1-Ф3'!AC39</f>
        <v>2180.08055686654</v>
      </c>
      <c r="D28" s="248">
        <f>'1-Ф3'!AD39</f>
        <v>6358.46223289177</v>
      </c>
      <c r="E28" s="248">
        <f>'1-Ф3'!AE39</f>
        <v>7102.858523316989</v>
      </c>
      <c r="F28" s="248">
        <f>'1-Ф3'!AF39</f>
        <v>7847.2548137422145</v>
      </c>
      <c r="G28" s="248">
        <f>'1-Ф3'!AG39</f>
        <v>8591.65110416744</v>
      </c>
      <c r="H28" s="248">
        <f>'1-Ф3'!AH39</f>
        <v>9336.047394592659</v>
      </c>
      <c r="I28" s="248">
        <f>'1-Ф3'!AI39</f>
        <v>20373.494772266655</v>
      </c>
    </row>
    <row r="30" spans="1:3" ht="12.75">
      <c r="A30" s="262" t="s">
        <v>275</v>
      </c>
      <c r="B30" s="287" t="s">
        <v>352</v>
      </c>
      <c r="C30" s="282"/>
    </row>
    <row r="31" spans="1:3" ht="12.75">
      <c r="A31" s="247" t="s">
        <v>181</v>
      </c>
      <c r="B31" s="254">
        <f>'1-Ф3'!AQ53</f>
        <v>0.12334509875767852</v>
      </c>
      <c r="C31" s="282"/>
    </row>
    <row r="32" spans="1:3" ht="12.75">
      <c r="A32" s="247" t="s">
        <v>182</v>
      </c>
      <c r="B32" s="248">
        <f>'1-Ф3'!AQ51</f>
        <v>6472.869684012505</v>
      </c>
      <c r="C32" s="282"/>
    </row>
    <row r="33" spans="1:3" ht="12.75">
      <c r="A33" s="247" t="s">
        <v>276</v>
      </c>
      <c r="B33" s="258">
        <f>'1-Ф3'!AQ52</f>
        <v>1.0723499721512202</v>
      </c>
      <c r="C33" s="282"/>
    </row>
    <row r="34" spans="1:3" ht="12.75">
      <c r="A34" s="247" t="s">
        <v>183</v>
      </c>
      <c r="B34" s="258">
        <f>'1-Ф3'!B54</f>
        <v>4.534260331929307</v>
      </c>
      <c r="C34" s="282"/>
    </row>
    <row r="35" spans="1:3" ht="12.75">
      <c r="A35" s="247" t="s">
        <v>184</v>
      </c>
      <c r="B35" s="258">
        <f>'1-Ф3'!B55</f>
        <v>6.318959698454632</v>
      </c>
      <c r="C35" s="282"/>
    </row>
    <row r="37" ht="12.75">
      <c r="A37" s="259" t="s">
        <v>353</v>
      </c>
    </row>
    <row r="38" spans="1:2" ht="12.75">
      <c r="A38" s="288" t="s">
        <v>26</v>
      </c>
      <c r="B38" s="246" t="s">
        <v>7</v>
      </c>
    </row>
    <row r="39" spans="1:2" ht="12.75">
      <c r="A39" s="247" t="s">
        <v>277</v>
      </c>
      <c r="B39" s="248">
        <f>Исх!C24</f>
        <v>400</v>
      </c>
    </row>
    <row r="40" spans="1:2" ht="12.75">
      <c r="A40" s="278" t="s">
        <v>255</v>
      </c>
      <c r="B40" s="279"/>
    </row>
    <row r="41" spans="1:2" ht="12.75">
      <c r="A41" s="276" t="str">
        <f>'2-ф2'!A6</f>
        <v>Хлопок</v>
      </c>
      <c r="B41" s="277">
        <f>Исх!$C$25</f>
        <v>308</v>
      </c>
    </row>
    <row r="42" spans="1:2" ht="12.75">
      <c r="A42" s="278" t="s">
        <v>236</v>
      </c>
      <c r="B42" s="279"/>
    </row>
    <row r="43" spans="1:2" ht="12.75">
      <c r="A43" s="247" t="str">
        <f>A41</f>
        <v>Хлопок</v>
      </c>
      <c r="B43" s="289">
        <f>Исх!C28</f>
        <v>35</v>
      </c>
    </row>
    <row r="44" spans="1:2" ht="12.75">
      <c r="A44" s="278" t="s">
        <v>256</v>
      </c>
      <c r="B44" s="279"/>
    </row>
    <row r="45" spans="1:2" ht="12.75">
      <c r="A45" s="276" t="str">
        <f>A43</f>
        <v>Хлопок</v>
      </c>
      <c r="B45" s="277">
        <f>Производство!AC6</f>
        <v>1078</v>
      </c>
    </row>
    <row r="47" ht="12.75">
      <c r="A47" s="259" t="s">
        <v>185</v>
      </c>
    </row>
    <row r="48" spans="1:15" ht="12.75">
      <c r="A48" s="344" t="s">
        <v>257</v>
      </c>
      <c r="B48" s="346" t="s">
        <v>219</v>
      </c>
      <c r="C48" s="346"/>
      <c r="D48" s="346"/>
      <c r="E48" s="347" t="s">
        <v>220</v>
      </c>
      <c r="F48" s="348"/>
      <c r="G48" s="348"/>
      <c r="H48" s="348"/>
      <c r="I48" s="348"/>
      <c r="J48" s="348"/>
      <c r="K48" s="348"/>
      <c r="L48" s="348"/>
      <c r="M48" s="348"/>
      <c r="N48" s="348"/>
      <c r="O48" s="349"/>
    </row>
    <row r="49" spans="1:15" ht="12.75">
      <c r="A49" s="345"/>
      <c r="B49" s="246" t="s">
        <v>282</v>
      </c>
      <c r="C49" s="246" t="s">
        <v>283</v>
      </c>
      <c r="D49" s="246" t="s">
        <v>284</v>
      </c>
      <c r="E49" s="246" t="s">
        <v>285</v>
      </c>
      <c r="F49" s="246" t="s">
        <v>286</v>
      </c>
      <c r="G49" s="246" t="s">
        <v>287</v>
      </c>
      <c r="H49" s="246" t="s">
        <v>288</v>
      </c>
      <c r="I49" s="246" t="s">
        <v>196</v>
      </c>
      <c r="J49" s="246" t="s">
        <v>289</v>
      </c>
      <c r="K49" s="246" t="s">
        <v>290</v>
      </c>
      <c r="L49" s="246" t="s">
        <v>291</v>
      </c>
      <c r="M49" s="246" t="s">
        <v>281</v>
      </c>
      <c r="N49" s="246" t="s">
        <v>282</v>
      </c>
      <c r="O49" s="246" t="s">
        <v>283</v>
      </c>
    </row>
    <row r="50" spans="1:15" ht="12.75">
      <c r="A50" s="260" t="s">
        <v>258</v>
      </c>
      <c r="B50" s="261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</row>
    <row r="51" spans="1:15" ht="12.75">
      <c r="A51" s="247" t="s">
        <v>186</v>
      </c>
      <c r="B51" s="248"/>
      <c r="C51" s="261"/>
      <c r="D51" s="261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</row>
    <row r="52" spans="1:15" ht="12.75">
      <c r="A52" s="247" t="s">
        <v>187</v>
      </c>
      <c r="B52" s="248"/>
      <c r="C52" s="248"/>
      <c r="D52" s="248"/>
      <c r="E52" s="261"/>
      <c r="F52" s="261"/>
      <c r="G52" s="248"/>
      <c r="H52" s="248"/>
      <c r="I52" s="248"/>
      <c r="J52" s="248"/>
      <c r="K52" s="248"/>
      <c r="L52" s="248"/>
      <c r="M52" s="248"/>
      <c r="N52" s="248"/>
      <c r="O52" s="248"/>
    </row>
    <row r="53" spans="1:15" ht="12.75">
      <c r="A53" s="247" t="s">
        <v>259</v>
      </c>
      <c r="B53" s="248"/>
      <c r="C53" s="248"/>
      <c r="D53" s="248"/>
      <c r="E53" s="261"/>
      <c r="F53" s="261"/>
      <c r="G53" s="248"/>
      <c r="H53" s="248"/>
      <c r="I53" s="248"/>
      <c r="J53" s="248"/>
      <c r="K53" s="248"/>
      <c r="L53" s="248"/>
      <c r="M53" s="248"/>
      <c r="N53" s="248"/>
      <c r="O53" s="248"/>
    </row>
    <row r="54" spans="1:15" ht="12.75">
      <c r="A54" s="247" t="s">
        <v>260</v>
      </c>
      <c r="B54" s="248"/>
      <c r="C54" s="248"/>
      <c r="D54" s="248"/>
      <c r="E54" s="248"/>
      <c r="F54" s="261"/>
      <c r="G54" s="248"/>
      <c r="H54" s="248"/>
      <c r="I54" s="248"/>
      <c r="J54" s="248"/>
      <c r="K54" s="248"/>
      <c r="L54" s="248"/>
      <c r="M54" s="248"/>
      <c r="N54" s="248"/>
      <c r="O54" s="248"/>
    </row>
    <row r="55" spans="1:15" ht="12.75">
      <c r="A55" s="247" t="s">
        <v>227</v>
      </c>
      <c r="B55" s="248"/>
      <c r="C55" s="248"/>
      <c r="D55" s="248"/>
      <c r="E55" s="248"/>
      <c r="F55" s="248"/>
      <c r="G55" s="261"/>
      <c r="H55" s="261"/>
      <c r="I55" s="248"/>
      <c r="J55" s="248"/>
      <c r="K55" s="248"/>
      <c r="L55" s="248"/>
      <c r="M55" s="248"/>
      <c r="N55" s="248"/>
      <c r="O55" s="248"/>
    </row>
    <row r="56" spans="1:15" ht="12.75">
      <c r="A56" s="247" t="s">
        <v>279</v>
      </c>
      <c r="B56" s="248"/>
      <c r="C56" s="248"/>
      <c r="D56" s="248"/>
      <c r="E56" s="248"/>
      <c r="F56" s="248"/>
      <c r="G56" s="248"/>
      <c r="H56" s="248"/>
      <c r="I56" s="261"/>
      <c r="J56" s="261"/>
      <c r="K56" s="261"/>
      <c r="L56" s="261"/>
      <c r="M56" s="248"/>
      <c r="N56" s="248"/>
      <c r="O56" s="248"/>
    </row>
    <row r="57" spans="1:15" ht="12.75">
      <c r="A57" s="247" t="s">
        <v>354</v>
      </c>
      <c r="B57" s="248"/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61"/>
      <c r="N57" s="261"/>
      <c r="O57" s="248"/>
    </row>
    <row r="58" spans="1:15" ht="12.75">
      <c r="A58" s="247" t="s">
        <v>280</v>
      </c>
      <c r="B58" s="248"/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61"/>
    </row>
    <row r="60" ht="12.75">
      <c r="A60" s="259" t="s">
        <v>278</v>
      </c>
    </row>
    <row r="62" spans="1:2" ht="12.75">
      <c r="A62" s="262" t="s">
        <v>193</v>
      </c>
      <c r="B62" s="263" t="s">
        <v>194</v>
      </c>
    </row>
    <row r="63" spans="1:2" ht="12.75" hidden="1">
      <c r="A63" s="247" t="s">
        <v>38</v>
      </c>
      <c r="B63" s="248">
        <f>'1-Ф3'!B22</f>
        <v>0</v>
      </c>
    </row>
    <row r="64" spans="1:2" ht="12.75">
      <c r="A64" s="247" t="s">
        <v>214</v>
      </c>
      <c r="B64" s="248">
        <f>'1-Ф3'!B21</f>
        <v>70.76111111111112</v>
      </c>
    </row>
    <row r="65" spans="1:2" ht="12.75">
      <c r="A65" s="247" t="s">
        <v>192</v>
      </c>
      <c r="B65" s="248">
        <f>(ФОТ!F23+ФОТ!G23+ФОТ!H23+ФОТ!I23)*12*7</f>
        <v>1463.1119999999999</v>
      </c>
    </row>
    <row r="66" spans="1:2" ht="12.75">
      <c r="A66" s="247" t="s">
        <v>228</v>
      </c>
      <c r="B66" s="248">
        <f>Производство!B6*'Расх перем'!$F$15</f>
        <v>13646.126861924688</v>
      </c>
    </row>
    <row r="67" spans="1:2" ht="12.75">
      <c r="A67" s="249" t="s">
        <v>0</v>
      </c>
      <c r="B67" s="250">
        <f>SUM(B63:B66)</f>
        <v>15179.9999730358</v>
      </c>
    </row>
  </sheetData>
  <sheetProtection/>
  <mergeCells count="3">
    <mergeCell ref="A48:A49"/>
    <mergeCell ref="B48:D48"/>
    <mergeCell ref="E48:O48"/>
  </mergeCells>
  <printOptions/>
  <pageMargins left="0.31" right="0.2" top="0.51" bottom="1.31" header="0.33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FV37"/>
  <sheetViews>
    <sheetView showGridLines="0" showZeros="0" zoomScalePageLayoutView="0" workbookViewId="0" topLeftCell="A1">
      <pane xSplit="3" ySplit="4" topLeftCell="D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N8" sqref="N8"/>
    </sheetView>
  </sheetViews>
  <sheetFormatPr defaultColWidth="10.125" defaultRowHeight="12.75" outlineLevelCol="1"/>
  <cols>
    <col min="1" max="1" width="39.125" style="81" customWidth="1"/>
    <col min="2" max="2" width="11.375" style="81" customWidth="1"/>
    <col min="3" max="3" width="3.875" style="81" customWidth="1"/>
    <col min="4" max="4" width="7.125" style="81" hidden="1" customWidth="1" outlineLevel="1"/>
    <col min="5" max="5" width="8.25390625" style="81" hidden="1" customWidth="1" outlineLevel="1"/>
    <col min="6" max="11" width="7.00390625" style="81" hidden="1" customWidth="1" outlineLevel="1"/>
    <col min="12" max="12" width="8.75390625" style="81" hidden="1" customWidth="1" outlineLevel="1"/>
    <col min="13" max="13" width="7.875" style="81" hidden="1" customWidth="1" outlineLevel="1"/>
    <col min="14" max="15" width="8.625" style="81" hidden="1" customWidth="1" outlineLevel="1"/>
    <col min="16" max="16" width="9.125" style="81" customWidth="1" collapsed="1"/>
    <col min="17" max="28" width="8.375" style="81" hidden="1" customWidth="1" outlineLevel="1"/>
    <col min="29" max="29" width="9.125" style="81" customWidth="1" collapsed="1"/>
    <col min="30" max="30" width="9.125" style="81" customWidth="1"/>
    <col min="31" max="35" width="8.875" style="81" customWidth="1"/>
    <col min="36" max="16384" width="10.125" style="81" customWidth="1"/>
  </cols>
  <sheetData>
    <row r="1" spans="1:3" ht="21" customHeight="1">
      <c r="A1" s="61" t="s">
        <v>112</v>
      </c>
      <c r="B1" s="80"/>
      <c r="C1" s="80"/>
    </row>
    <row r="2" spans="1:3" ht="17.25" customHeight="1">
      <c r="A2" s="61"/>
      <c r="B2" s="12" t="str">
        <f>Исх!$C$9</f>
        <v>тыс.тг.</v>
      </c>
      <c r="C2" s="82"/>
    </row>
    <row r="3" spans="1:35" ht="12.75" customHeight="1">
      <c r="A3" s="312" t="s">
        <v>2</v>
      </c>
      <c r="B3" s="316" t="s">
        <v>86</v>
      </c>
      <c r="C3" s="86"/>
      <c r="D3" s="311">
        <v>2014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>
        <v>2015</v>
      </c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87">
        <f>Q3+1</f>
        <v>2016</v>
      </c>
      <c r="AE3" s="87">
        <f>AD3+1</f>
        <v>2017</v>
      </c>
      <c r="AF3" s="87">
        <f>AE3+1</f>
        <v>2018</v>
      </c>
      <c r="AG3" s="87">
        <f>AF3+1</f>
        <v>2019</v>
      </c>
      <c r="AH3" s="87">
        <f>AG3+1</f>
        <v>2020</v>
      </c>
      <c r="AI3" s="87">
        <f>AH3+1</f>
        <v>2021</v>
      </c>
    </row>
    <row r="4" spans="1:35" ht="12.75">
      <c r="A4" s="313"/>
      <c r="B4" s="316"/>
      <c r="C4" s="88"/>
      <c r="D4" s="89">
        <v>1</v>
      </c>
      <c r="E4" s="89">
        <f aca="true" t="shared" si="0" ref="E4:O4">D4+1</f>
        <v>2</v>
      </c>
      <c r="F4" s="89">
        <f t="shared" si="0"/>
        <v>3</v>
      </c>
      <c r="G4" s="89">
        <f t="shared" si="0"/>
        <v>4</v>
      </c>
      <c r="H4" s="89">
        <f t="shared" si="0"/>
        <v>5</v>
      </c>
      <c r="I4" s="89">
        <f t="shared" si="0"/>
        <v>6</v>
      </c>
      <c r="J4" s="89">
        <f t="shared" si="0"/>
        <v>7</v>
      </c>
      <c r="K4" s="89">
        <f t="shared" si="0"/>
        <v>8</v>
      </c>
      <c r="L4" s="89">
        <f t="shared" si="0"/>
        <v>9</v>
      </c>
      <c r="M4" s="89">
        <f t="shared" si="0"/>
        <v>10</v>
      </c>
      <c r="N4" s="89">
        <f t="shared" si="0"/>
        <v>11</v>
      </c>
      <c r="O4" s="89">
        <f t="shared" si="0"/>
        <v>12</v>
      </c>
      <c r="P4" s="85" t="s">
        <v>0</v>
      </c>
      <c r="Q4" s="89">
        <v>1</v>
      </c>
      <c r="R4" s="89">
        <f aca="true" t="shared" si="1" ref="R4:AB4">Q4+1</f>
        <v>2</v>
      </c>
      <c r="S4" s="89">
        <f t="shared" si="1"/>
        <v>3</v>
      </c>
      <c r="T4" s="89">
        <f t="shared" si="1"/>
        <v>4</v>
      </c>
      <c r="U4" s="89">
        <f t="shared" si="1"/>
        <v>5</v>
      </c>
      <c r="V4" s="89">
        <f t="shared" si="1"/>
        <v>6</v>
      </c>
      <c r="W4" s="89">
        <f t="shared" si="1"/>
        <v>7</v>
      </c>
      <c r="X4" s="89">
        <f t="shared" si="1"/>
        <v>8</v>
      </c>
      <c r="Y4" s="89">
        <f t="shared" si="1"/>
        <v>9</v>
      </c>
      <c r="Z4" s="89">
        <f t="shared" si="1"/>
        <v>10</v>
      </c>
      <c r="AA4" s="89">
        <f t="shared" si="1"/>
        <v>11</v>
      </c>
      <c r="AB4" s="89">
        <f t="shared" si="1"/>
        <v>12</v>
      </c>
      <c r="AC4" s="85" t="s">
        <v>0</v>
      </c>
      <c r="AD4" s="85" t="s">
        <v>113</v>
      </c>
      <c r="AE4" s="85" t="s">
        <v>113</v>
      </c>
      <c r="AF4" s="85" t="s">
        <v>113</v>
      </c>
      <c r="AG4" s="85" t="s">
        <v>113</v>
      </c>
      <c r="AH4" s="85" t="s">
        <v>113</v>
      </c>
      <c r="AI4" s="85" t="s">
        <v>113</v>
      </c>
    </row>
    <row r="5" spans="1:36" s="82" customFormat="1" ht="15" customHeight="1">
      <c r="A5" s="90" t="s">
        <v>348</v>
      </c>
      <c r="B5" s="91">
        <f>P5+AC5+AD5+AE5+AF5+AG5+AH5+AI5</f>
        <v>419191.50171359995</v>
      </c>
      <c r="C5" s="92"/>
      <c r="D5" s="92">
        <f aca="true" t="shared" si="2" ref="D5:AI5">SUM(D6:D6)</f>
        <v>0</v>
      </c>
      <c r="E5" s="92">
        <f t="shared" si="2"/>
        <v>0</v>
      </c>
      <c r="F5" s="92">
        <f t="shared" si="2"/>
        <v>0</v>
      </c>
      <c r="G5" s="92">
        <f t="shared" si="2"/>
        <v>0</v>
      </c>
      <c r="H5" s="92">
        <f t="shared" si="2"/>
        <v>0</v>
      </c>
      <c r="I5" s="92">
        <f t="shared" si="2"/>
        <v>0</v>
      </c>
      <c r="J5" s="92">
        <f t="shared" si="2"/>
        <v>0</v>
      </c>
      <c r="K5" s="92">
        <f t="shared" si="2"/>
        <v>0</v>
      </c>
      <c r="L5" s="92">
        <f t="shared" si="2"/>
        <v>0</v>
      </c>
      <c r="M5" s="92">
        <f t="shared" si="2"/>
        <v>0</v>
      </c>
      <c r="N5" s="92">
        <f t="shared" si="2"/>
        <v>6132.11676</v>
      </c>
      <c r="O5" s="92">
        <f t="shared" si="2"/>
        <v>6132.11676</v>
      </c>
      <c r="P5" s="92">
        <f t="shared" si="2"/>
        <v>12264.23352</v>
      </c>
      <c r="Q5" s="92">
        <f t="shared" si="2"/>
        <v>6132.11676</v>
      </c>
      <c r="R5" s="92">
        <f t="shared" si="2"/>
        <v>6132.11676</v>
      </c>
      <c r="S5" s="92">
        <f t="shared" si="2"/>
        <v>6132.11676</v>
      </c>
      <c r="T5" s="92">
        <f t="shared" si="2"/>
        <v>6132.11676</v>
      </c>
      <c r="U5" s="92">
        <f t="shared" si="2"/>
        <v>6132.11676</v>
      </c>
      <c r="V5" s="92">
        <f t="shared" si="2"/>
        <v>6132.11676</v>
      </c>
      <c r="W5" s="92">
        <f t="shared" si="2"/>
        <v>6132.11676</v>
      </c>
      <c r="X5" s="92">
        <f t="shared" si="2"/>
        <v>0</v>
      </c>
      <c r="Y5" s="92">
        <f t="shared" si="2"/>
        <v>0</v>
      </c>
      <c r="Z5" s="92">
        <f t="shared" si="2"/>
        <v>0</v>
      </c>
      <c r="AA5" s="92">
        <f t="shared" si="2"/>
        <v>6132.11676</v>
      </c>
      <c r="AB5" s="92">
        <f t="shared" si="2"/>
        <v>6132.11676</v>
      </c>
      <c r="AC5" s="92">
        <f t="shared" si="2"/>
        <v>55189.05083999999</v>
      </c>
      <c r="AD5" s="92">
        <f t="shared" si="2"/>
        <v>58623.03622559999</v>
      </c>
      <c r="AE5" s="92">
        <f t="shared" si="2"/>
        <v>58623.03622559999</v>
      </c>
      <c r="AF5" s="92">
        <f t="shared" si="2"/>
        <v>58623.03622559999</v>
      </c>
      <c r="AG5" s="92">
        <f t="shared" si="2"/>
        <v>58623.03622559999</v>
      </c>
      <c r="AH5" s="92">
        <f t="shared" si="2"/>
        <v>58623.03622559999</v>
      </c>
      <c r="AI5" s="92">
        <f t="shared" si="2"/>
        <v>58623.03622559999</v>
      </c>
      <c r="AJ5" s="93"/>
    </row>
    <row r="6" spans="1:36" s="82" customFormat="1" ht="12.75">
      <c r="A6" s="94" t="str">
        <f>Производство!A9</f>
        <v>Хлопок</v>
      </c>
      <c r="B6" s="91">
        <f>P6+AC6+AD6+AE6+AF6+AG6+AH6</f>
        <v>360568.46548799996</v>
      </c>
      <c r="C6" s="92"/>
      <c r="D6" s="95"/>
      <c r="E6" s="95"/>
      <c r="F6" s="95"/>
      <c r="G6" s="95"/>
      <c r="H6" s="95"/>
      <c r="I6" s="95"/>
      <c r="J6" s="95"/>
      <c r="K6" s="95">
        <f>Производство!K9*Исх!$C32/1000</f>
        <v>0</v>
      </c>
      <c r="L6" s="95">
        <f>Производство!L9*Исх!$C32/1000</f>
        <v>0</v>
      </c>
      <c r="M6" s="95">
        <f>Производство!M9*Исх!$C32/1000</f>
        <v>0</v>
      </c>
      <c r="N6" s="95">
        <f>Производство!N9*Исх!$C32/1000</f>
        <v>6132.11676</v>
      </c>
      <c r="O6" s="95">
        <f>Производство!O9*Исх!$C32/1000</f>
        <v>6132.11676</v>
      </c>
      <c r="P6" s="92">
        <f>SUM(D6:O6)</f>
        <v>12264.23352</v>
      </c>
      <c r="Q6" s="95">
        <f>Производство!Q9*Исх!$C32/1000</f>
        <v>6132.11676</v>
      </c>
      <c r="R6" s="95">
        <f>Производство!R9*Исх!$C32/1000</f>
        <v>6132.11676</v>
      </c>
      <c r="S6" s="95">
        <f>Производство!S9*Исх!$C32/1000</f>
        <v>6132.11676</v>
      </c>
      <c r="T6" s="95">
        <f>Производство!T9*Исх!$C32/1000</f>
        <v>6132.11676</v>
      </c>
      <c r="U6" s="95">
        <f>Производство!U9*Исх!$C32/1000</f>
        <v>6132.11676</v>
      </c>
      <c r="V6" s="95">
        <f>Производство!V9*Исх!$C32/1000</f>
        <v>6132.11676</v>
      </c>
      <c r="W6" s="95">
        <f>Производство!W9*Исх!$C32/1000</f>
        <v>6132.11676</v>
      </c>
      <c r="X6" s="95">
        <f>Производство!X9*Исх!$C32/1000</f>
        <v>0</v>
      </c>
      <c r="Y6" s="95">
        <f>Производство!Y9*Исх!$C32/1000</f>
        <v>0</v>
      </c>
      <c r="Z6" s="95">
        <f>Производство!Z9*Исх!$C32/1000</f>
        <v>0</v>
      </c>
      <c r="AA6" s="95">
        <f>Производство!AA9*Исх!$C32/1000</f>
        <v>6132.11676</v>
      </c>
      <c r="AB6" s="95">
        <f>Производство!AB9*Исх!$C32/1000</f>
        <v>6132.11676</v>
      </c>
      <c r="AC6" s="92">
        <f>SUM(Q6:AB6)</f>
        <v>55189.05083999999</v>
      </c>
      <c r="AD6" s="95">
        <f>Производство!AD9*Исх!$C32/1000</f>
        <v>58623.03622559999</v>
      </c>
      <c r="AE6" s="95">
        <f>Производство!AE9*Исх!$C32/1000</f>
        <v>58623.03622559999</v>
      </c>
      <c r="AF6" s="95">
        <f>Производство!AF9*Исх!$C32/1000</f>
        <v>58623.03622559999</v>
      </c>
      <c r="AG6" s="95">
        <f>Производство!AG9*Исх!$C32/1000</f>
        <v>58623.03622559999</v>
      </c>
      <c r="AH6" s="95">
        <f>Производство!AH9*Исх!$C32/1000</f>
        <v>58623.03622559999</v>
      </c>
      <c r="AI6" s="95">
        <f>Производство!AI9*Исх!$C32/1000</f>
        <v>58623.03622559999</v>
      </c>
      <c r="AJ6" s="93"/>
    </row>
    <row r="7" spans="1:35" ht="15" customHeight="1">
      <c r="A7" s="90" t="s">
        <v>347</v>
      </c>
      <c r="B7" s="91">
        <f aca="true" t="shared" si="3" ref="B7:B21">P7+AC7+AD7+AE7+AF7+AG7+AH7</f>
        <v>222889.65611046023</v>
      </c>
      <c r="C7" s="92"/>
      <c r="D7" s="92">
        <f aca="true" t="shared" si="4" ref="D7:AH7">SUM(D8:D14)</f>
        <v>0</v>
      </c>
      <c r="E7" s="92">
        <f t="shared" si="4"/>
        <v>0</v>
      </c>
      <c r="F7" s="92">
        <f t="shared" si="4"/>
        <v>0</v>
      </c>
      <c r="G7" s="92">
        <f t="shared" si="4"/>
        <v>0</v>
      </c>
      <c r="H7" s="92">
        <f t="shared" si="4"/>
        <v>0</v>
      </c>
      <c r="I7" s="92">
        <f t="shared" si="4"/>
        <v>0</v>
      </c>
      <c r="J7" s="92">
        <f t="shared" si="4"/>
        <v>0</v>
      </c>
      <c r="K7" s="92">
        <f t="shared" si="4"/>
        <v>0</v>
      </c>
      <c r="L7" s="92">
        <f t="shared" si="4"/>
        <v>0</v>
      </c>
      <c r="M7" s="92">
        <f t="shared" si="4"/>
        <v>0</v>
      </c>
      <c r="N7" s="92">
        <f t="shared" si="4"/>
        <v>3790.6404100418413</v>
      </c>
      <c r="O7" s="92">
        <f t="shared" si="4"/>
        <v>3790.6404100418413</v>
      </c>
      <c r="P7" s="92">
        <f t="shared" si="4"/>
        <v>7581.280820083683</v>
      </c>
      <c r="Q7" s="92">
        <f t="shared" si="4"/>
        <v>3790.6404100418413</v>
      </c>
      <c r="R7" s="92">
        <f t="shared" si="4"/>
        <v>3790.6404100418413</v>
      </c>
      <c r="S7" s="92">
        <f t="shared" si="4"/>
        <v>3790.6404100418413</v>
      </c>
      <c r="T7" s="92">
        <f t="shared" si="4"/>
        <v>3790.6404100418413</v>
      </c>
      <c r="U7" s="92">
        <f t="shared" si="4"/>
        <v>3790.6404100418413</v>
      </c>
      <c r="V7" s="92">
        <f t="shared" si="4"/>
        <v>3790.6404100418413</v>
      </c>
      <c r="W7" s="92">
        <f t="shared" si="4"/>
        <v>3790.6404100418413</v>
      </c>
      <c r="X7" s="92">
        <f t="shared" si="4"/>
        <v>0</v>
      </c>
      <c r="Y7" s="92">
        <f t="shared" si="4"/>
        <v>0</v>
      </c>
      <c r="Z7" s="92">
        <f t="shared" si="4"/>
        <v>0</v>
      </c>
      <c r="AA7" s="92">
        <f t="shared" si="4"/>
        <v>3790.6404100418413</v>
      </c>
      <c r="AB7" s="92">
        <f t="shared" si="4"/>
        <v>3790.6404100418413</v>
      </c>
      <c r="AC7" s="92">
        <f t="shared" si="4"/>
        <v>34115.76369037657</v>
      </c>
      <c r="AD7" s="92">
        <f t="shared" si="4"/>
        <v>36238.522320000004</v>
      </c>
      <c r="AE7" s="92">
        <f t="shared" si="4"/>
        <v>36238.522320000004</v>
      </c>
      <c r="AF7" s="92">
        <f t="shared" si="4"/>
        <v>36238.522320000004</v>
      </c>
      <c r="AG7" s="92">
        <f t="shared" si="4"/>
        <v>36238.522320000004</v>
      </c>
      <c r="AH7" s="92">
        <f t="shared" si="4"/>
        <v>36238.522320000004</v>
      </c>
      <c r="AI7" s="92">
        <f>SUM(AI8:AI14)</f>
        <v>36238.522320000004</v>
      </c>
    </row>
    <row r="8" spans="1:35" ht="12.75">
      <c r="A8" s="94" t="str">
        <f>'Расх перем'!A26</f>
        <v>Заработная плата</v>
      </c>
      <c r="B8" s="91">
        <f t="shared" si="3"/>
        <v>53679.79391799163</v>
      </c>
      <c r="C8" s="92"/>
      <c r="D8" s="95"/>
      <c r="E8" s="95"/>
      <c r="F8" s="95"/>
      <c r="G8" s="95"/>
      <c r="H8" s="95"/>
      <c r="I8" s="95"/>
      <c r="J8" s="95"/>
      <c r="K8" s="95"/>
      <c r="L8" s="95"/>
      <c r="M8" s="95"/>
      <c r="N8" s="95">
        <f>Производство!N$9*('Расх перем'!$F$6)</f>
        <v>912.9216652719664</v>
      </c>
      <c r="O8" s="95">
        <f>Производство!O$9*('Расх перем'!$F$6)</f>
        <v>912.9216652719664</v>
      </c>
      <c r="P8" s="92">
        <f aca="true" t="shared" si="5" ref="P8:P14">SUM(D8:O8)</f>
        <v>1825.8433305439328</v>
      </c>
      <c r="Q8" s="95">
        <f>Производство!Q$9*('Расх перем'!$F$6)</f>
        <v>912.9216652719664</v>
      </c>
      <c r="R8" s="95">
        <f>Производство!R$9*('Расх перем'!$F$6)</f>
        <v>912.9216652719664</v>
      </c>
      <c r="S8" s="95">
        <f>Производство!S$9*('Расх перем'!$F$6)</f>
        <v>912.9216652719664</v>
      </c>
      <c r="T8" s="95">
        <f>Производство!T$9*('Расх перем'!$F$6)</f>
        <v>912.9216652719664</v>
      </c>
      <c r="U8" s="95">
        <f>Производство!U$9*('Расх перем'!$F$6)</f>
        <v>912.9216652719664</v>
      </c>
      <c r="V8" s="95">
        <f>Производство!V$9*('Расх перем'!$F$6)</f>
        <v>912.9216652719664</v>
      </c>
      <c r="W8" s="95">
        <f>Производство!W$9*('Расх перем'!$F$6)</f>
        <v>912.9216652719664</v>
      </c>
      <c r="X8" s="95">
        <f>Производство!X$9*('Расх перем'!$F$6)</f>
        <v>0</v>
      </c>
      <c r="Y8" s="95">
        <f>Производство!Y$9*('Расх перем'!$F$6)</f>
        <v>0</v>
      </c>
      <c r="Z8" s="95">
        <f>Производство!Z$9*('Расх перем'!$F$6)</f>
        <v>0</v>
      </c>
      <c r="AA8" s="95">
        <f>Производство!AA$9*('Расх перем'!$F$6)</f>
        <v>912.9216652719664</v>
      </c>
      <c r="AB8" s="95">
        <f>Производство!AB$9*('Расх перем'!$F$6)</f>
        <v>912.9216652719664</v>
      </c>
      <c r="AC8" s="92">
        <f aca="true" t="shared" si="6" ref="AC8:AC14">SUM(Q8:AB8)</f>
        <v>8216.294987447696</v>
      </c>
      <c r="AD8" s="95">
        <f>Производство!AD$9*('Расх перем'!$F$6)</f>
        <v>8727.53112</v>
      </c>
      <c r="AE8" s="95">
        <f>Производство!AE$9*('Расх перем'!$F$6)</f>
        <v>8727.53112</v>
      </c>
      <c r="AF8" s="95">
        <f>Производство!AF$9*('Расх перем'!$F$6)</f>
        <v>8727.53112</v>
      </c>
      <c r="AG8" s="95">
        <f>Производство!AG$9*('Расх перем'!$F$6)</f>
        <v>8727.53112</v>
      </c>
      <c r="AH8" s="95">
        <f>Производство!AH$9*('Расх перем'!$F$6)</f>
        <v>8727.53112</v>
      </c>
      <c r="AI8" s="95">
        <f>Производство!AI$9*('Расх перем'!$F$6)</f>
        <v>8727.53112</v>
      </c>
    </row>
    <row r="9" spans="1:35" ht="12.75">
      <c r="A9" s="94" t="str">
        <f>'Расх перем'!A27</f>
        <v>ГСМ</v>
      </c>
      <c r="B9" s="91">
        <f>P9+AC9+AD9+AE9+AF9+AG9+AH9</f>
        <v>39971.62296903766</v>
      </c>
      <c r="C9" s="92"/>
      <c r="D9" s="95"/>
      <c r="E9" s="95"/>
      <c r="F9" s="95"/>
      <c r="G9" s="95"/>
      <c r="H9" s="95"/>
      <c r="I9" s="95"/>
      <c r="J9" s="95"/>
      <c r="K9" s="95"/>
      <c r="L9" s="95"/>
      <c r="M9" s="95"/>
      <c r="N9" s="95">
        <f>Производство!N$9*('Расх перем'!$F$7)</f>
        <v>679.7895062761505</v>
      </c>
      <c r="O9" s="95">
        <f>Производство!O$9*('Расх перем'!$F$7)</f>
        <v>679.7895062761505</v>
      </c>
      <c r="P9" s="92">
        <f t="shared" si="5"/>
        <v>1359.579012552301</v>
      </c>
      <c r="Q9" s="95">
        <f>Производство!Q$9*('Расх перем'!$F$7)</f>
        <v>679.7895062761505</v>
      </c>
      <c r="R9" s="95">
        <f>Производство!R$9*('Расх перем'!$F$7)</f>
        <v>679.7895062761505</v>
      </c>
      <c r="S9" s="95">
        <f>Производство!S$9*('Расх перем'!$F$7)</f>
        <v>679.7895062761505</v>
      </c>
      <c r="T9" s="95">
        <f>Производство!T$9*('Расх перем'!$F$7)</f>
        <v>679.7895062761505</v>
      </c>
      <c r="U9" s="95">
        <f>Производство!U$9*('Расх перем'!$F$7)</f>
        <v>679.7895062761505</v>
      </c>
      <c r="V9" s="95">
        <f>Производство!V$9*('Расх перем'!$F$7)</f>
        <v>679.7895062761505</v>
      </c>
      <c r="W9" s="95">
        <f>Производство!W$9*('Расх перем'!$F$7)</f>
        <v>679.7895062761505</v>
      </c>
      <c r="X9" s="95">
        <f>Производство!X$9*('Расх перем'!$F$7)</f>
        <v>0</v>
      </c>
      <c r="Y9" s="95">
        <f>Производство!Y$9*('Расх перем'!$F$7)</f>
        <v>0</v>
      </c>
      <c r="Z9" s="95">
        <f>Производство!Z$9*('Расх перем'!$F$7)</f>
        <v>0</v>
      </c>
      <c r="AA9" s="95">
        <f>Производство!AA$9*('Расх перем'!$F$7)</f>
        <v>679.7895062761505</v>
      </c>
      <c r="AB9" s="95">
        <f>Производство!AB$9*('Расх перем'!$F$7)</f>
        <v>679.7895062761505</v>
      </c>
      <c r="AC9" s="92">
        <f t="shared" si="6"/>
        <v>6118.105556485355</v>
      </c>
      <c r="AD9" s="95">
        <f>Производство!AD$9*('Расх перем'!$F$7)</f>
        <v>6498.787679999999</v>
      </c>
      <c r="AE9" s="95">
        <f>Производство!AE$9*('Расх перем'!$F$7)</f>
        <v>6498.787679999999</v>
      </c>
      <c r="AF9" s="95">
        <f>Производство!AF$9*('Расх перем'!$F$7)</f>
        <v>6498.787679999999</v>
      </c>
      <c r="AG9" s="95">
        <f>Производство!AG$9*('Расх перем'!$F$7)</f>
        <v>6498.787679999999</v>
      </c>
      <c r="AH9" s="95">
        <f>Производство!AH$9*('Расх перем'!$F$7)</f>
        <v>6498.787679999999</v>
      </c>
      <c r="AI9" s="95">
        <f>Производство!AI$9*('Расх перем'!$F$7)</f>
        <v>6498.787679999999</v>
      </c>
    </row>
    <row r="10" spans="1:35" ht="12.75">
      <c r="A10" s="94" t="s">
        <v>342</v>
      </c>
      <c r="B10" s="91">
        <f>P10+AC10+AD10+AE10+AF10+AG10+AH10</f>
        <v>29607.548746443514</v>
      </c>
      <c r="C10" s="92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>
        <f>Производство!N$9*('Расх перем'!$F$8+'Расх перем'!$F$9)</f>
        <v>503.52974058577405</v>
      </c>
      <c r="O10" s="95">
        <f>Производство!O$9*('Расх перем'!$F$8+'Расх перем'!$F$9)</f>
        <v>503.52974058577405</v>
      </c>
      <c r="P10" s="92">
        <f t="shared" si="5"/>
        <v>1007.0594811715481</v>
      </c>
      <c r="Q10" s="95">
        <f>Производство!Q$9*('Расх перем'!$F$8+'Расх перем'!$F$9)</f>
        <v>503.52974058577405</v>
      </c>
      <c r="R10" s="95">
        <f>Производство!R$9*('Расх перем'!$F$8+'Расх перем'!$F$9)</f>
        <v>503.52974058577405</v>
      </c>
      <c r="S10" s="95">
        <f>Производство!S$9*('Расх перем'!$F$8+'Расх перем'!$F$9)</f>
        <v>503.52974058577405</v>
      </c>
      <c r="T10" s="95">
        <f>Производство!T$9*('Расх перем'!$F$8+'Расх перем'!$F$9)</f>
        <v>503.52974058577405</v>
      </c>
      <c r="U10" s="95">
        <f>Производство!U$9*('Расх перем'!$F$8+'Расх перем'!$F$9)</f>
        <v>503.52974058577405</v>
      </c>
      <c r="V10" s="95">
        <f>Производство!V$9*('Расх перем'!$F$8+'Расх перем'!$F$9)</f>
        <v>503.52974058577405</v>
      </c>
      <c r="W10" s="95">
        <f>Производство!W$9*('Расх перем'!$F$8+'Расх перем'!$F$9)</f>
        <v>503.52974058577405</v>
      </c>
      <c r="X10" s="95">
        <f>Производство!X$9*('Расх перем'!$F$8+'Расх перем'!$F$9)</f>
        <v>0</v>
      </c>
      <c r="Y10" s="95">
        <f>Производство!Y$9*('Расх перем'!$F$8+'Расх перем'!$F$9)</f>
        <v>0</v>
      </c>
      <c r="Z10" s="95">
        <f>Производство!Z$9*('Расх перем'!$F$8+'Расх перем'!$F$9)</f>
        <v>0</v>
      </c>
      <c r="AA10" s="95">
        <f>Производство!AA$9*('Расх перем'!$F$8+'Расх перем'!$F$9)</f>
        <v>503.52974058577405</v>
      </c>
      <c r="AB10" s="95">
        <f>Производство!AB$9*('Расх перем'!$F$8+'Расх перем'!$F$9)</f>
        <v>503.52974058577405</v>
      </c>
      <c r="AC10" s="92">
        <f t="shared" si="6"/>
        <v>4531.7676652719665</v>
      </c>
      <c r="AD10" s="95">
        <f>Производство!AD$9*('Расх перем'!$F$8+'Расх перем'!$F$9)</f>
        <v>4813.74432</v>
      </c>
      <c r="AE10" s="95">
        <f>Производство!AE$9*('Расх перем'!$F$8+'Расх перем'!$F$9)</f>
        <v>4813.74432</v>
      </c>
      <c r="AF10" s="95">
        <f>Производство!AF$9*('Расх перем'!$F$8+'Расх перем'!$F$9)</f>
        <v>4813.74432</v>
      </c>
      <c r="AG10" s="95">
        <f>Производство!AG$9*('Расх перем'!$F$8+'Расх перем'!$F$9)</f>
        <v>4813.74432</v>
      </c>
      <c r="AH10" s="95">
        <f>Производство!AH$9*('Расх перем'!$F$8+'Расх перем'!$F$9)</f>
        <v>4813.74432</v>
      </c>
      <c r="AI10" s="95">
        <f>Производство!AI$9*('Расх перем'!$F$8+'Расх перем'!$F$9)</f>
        <v>4813.74432</v>
      </c>
    </row>
    <row r="11" spans="1:35" ht="12.75">
      <c r="A11" s="94" t="s">
        <v>343</v>
      </c>
      <c r="B11" s="91">
        <f>P11+AC11+AD11+AE11+AF11+AG11+AH11</f>
        <v>23344.22982426778</v>
      </c>
      <c r="C11" s="92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>
        <f>Производство!N$9*('Расх перем'!$F$10+'Расх перем'!$F$11)</f>
        <v>397.0107112970711</v>
      </c>
      <c r="O11" s="95">
        <f>Производство!O$9*('Расх перем'!$F$10+'Расх перем'!$F$11)</f>
        <v>397.0107112970711</v>
      </c>
      <c r="P11" s="92">
        <f t="shared" si="5"/>
        <v>794.0214225941422</v>
      </c>
      <c r="Q11" s="95">
        <f>Производство!Q$9*('Расх перем'!$F$10+'Расх перем'!$F$11)</f>
        <v>397.0107112970711</v>
      </c>
      <c r="R11" s="95">
        <f>Производство!R$9*('Расх перем'!$F$10+'Расх перем'!$F$11)</f>
        <v>397.0107112970711</v>
      </c>
      <c r="S11" s="95">
        <f>Производство!S$9*('Расх перем'!$F$10+'Расх перем'!$F$11)</f>
        <v>397.0107112970711</v>
      </c>
      <c r="T11" s="95">
        <f>Производство!T$9*('Расх перем'!$F$10+'Расх перем'!$F$11)</f>
        <v>397.0107112970711</v>
      </c>
      <c r="U11" s="95">
        <f>Производство!U$9*('Расх перем'!$F$10+'Расх перем'!$F$11)</f>
        <v>397.0107112970711</v>
      </c>
      <c r="V11" s="95">
        <f>Производство!V$9*('Расх перем'!$F$10+'Расх перем'!$F$11)</f>
        <v>397.0107112970711</v>
      </c>
      <c r="W11" s="95">
        <f>Производство!W$9*('Расх перем'!$F$10+'Расх перем'!$F$11)</f>
        <v>397.0107112970711</v>
      </c>
      <c r="X11" s="95">
        <f>Производство!X$9*('Расх перем'!$F$10+'Расх перем'!$F$11)</f>
        <v>0</v>
      </c>
      <c r="Y11" s="95">
        <f>Производство!Y$9*('Расх перем'!$F$10+'Расх перем'!$F$11)</f>
        <v>0</v>
      </c>
      <c r="Z11" s="95">
        <f>Производство!Z$9*('Расх перем'!$F$10+'Расх перем'!$F$11)</f>
        <v>0</v>
      </c>
      <c r="AA11" s="95">
        <f>Производство!AA$9*('Расх перем'!$F$10+'Расх перем'!$F$11)</f>
        <v>397.0107112970711</v>
      </c>
      <c r="AB11" s="95">
        <f>Производство!AB$9*('Расх перем'!$F$10+'Расх перем'!$F$11)</f>
        <v>397.0107112970711</v>
      </c>
      <c r="AC11" s="92">
        <f t="shared" si="6"/>
        <v>3573.09640167364</v>
      </c>
      <c r="AD11" s="95">
        <f>Производство!AD$9*('Расх перем'!$F$10+'Расх перем'!$F$11)</f>
        <v>3795.4223999999995</v>
      </c>
      <c r="AE11" s="95">
        <f>Производство!AE$9*('Расх перем'!$F$10+'Расх перем'!$F$11)</f>
        <v>3795.4223999999995</v>
      </c>
      <c r="AF11" s="95">
        <f>Производство!AF$9*('Расх перем'!$F$10+'Расх перем'!$F$11)</f>
        <v>3795.4223999999995</v>
      </c>
      <c r="AG11" s="95">
        <f>Производство!AG$9*('Расх перем'!$F$10+'Расх перем'!$F$11)</f>
        <v>3795.4223999999995</v>
      </c>
      <c r="AH11" s="95">
        <f>Производство!AH$9*('Расх перем'!$F$10+'Расх перем'!$F$11)</f>
        <v>3795.4223999999995</v>
      </c>
      <c r="AI11" s="95">
        <f>Производство!AI$9*('Расх перем'!$F$10+'Расх перем'!$F$11)</f>
        <v>3795.4223999999995</v>
      </c>
    </row>
    <row r="12" spans="1:35" ht="12.75">
      <c r="A12" s="94" t="s">
        <v>344</v>
      </c>
      <c r="B12" s="91">
        <f>P12+AC12+AD12+AE12+AF12+AG12+AH12</f>
        <v>47409.31418912133</v>
      </c>
      <c r="C12" s="92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>
        <f>Производство!N$9*('Расх перем'!$F$12+'Расх перем'!$F$13)</f>
        <v>806.2808535564853</v>
      </c>
      <c r="O12" s="95">
        <f>Производство!O$9*('Расх перем'!$F$12+'Расх перем'!$F$13)</f>
        <v>806.2808535564853</v>
      </c>
      <c r="P12" s="92">
        <f t="shared" si="5"/>
        <v>1612.5617071129707</v>
      </c>
      <c r="Q12" s="95">
        <f>Производство!Q$9*('Расх перем'!$F$12+'Расх перем'!$F$13)</f>
        <v>806.2808535564853</v>
      </c>
      <c r="R12" s="95">
        <f>Производство!R$9*('Расх перем'!$F$12+'Расх перем'!$F$13)</f>
        <v>806.2808535564853</v>
      </c>
      <c r="S12" s="95">
        <f>Производство!S$9*('Расх перем'!$F$12+'Расх перем'!$F$13)</f>
        <v>806.2808535564853</v>
      </c>
      <c r="T12" s="95">
        <f>Производство!T$9*('Расх перем'!$F$12+'Расх перем'!$F$13)</f>
        <v>806.2808535564853</v>
      </c>
      <c r="U12" s="95">
        <f>Производство!U$9*('Расх перем'!$F$12+'Расх перем'!$F$13)</f>
        <v>806.2808535564853</v>
      </c>
      <c r="V12" s="95">
        <f>Производство!V$9*('Расх перем'!$F$12+'Расх перем'!$F$13)</f>
        <v>806.2808535564853</v>
      </c>
      <c r="W12" s="95">
        <f>Производство!W$9*('Расх перем'!$F$12+'Расх перем'!$F$13)</f>
        <v>806.2808535564853</v>
      </c>
      <c r="X12" s="95">
        <f>Производство!X$9*('Расх перем'!$F$12+'Расх перем'!$F$13)</f>
        <v>0</v>
      </c>
      <c r="Y12" s="95">
        <f>Производство!Y$9*('Расх перем'!$F$12+'Расх перем'!$F$13)</f>
        <v>0</v>
      </c>
      <c r="Z12" s="95">
        <f>Производство!Z$9*('Расх перем'!$F$12+'Расх перем'!$F$13)</f>
        <v>0</v>
      </c>
      <c r="AA12" s="95">
        <f>Производство!AA$9*('Расх перем'!$F$12+'Расх перем'!$F$13)</f>
        <v>806.2808535564853</v>
      </c>
      <c r="AB12" s="95">
        <f>Производство!AB$9*('Расх перем'!$F$12+'Расх перем'!$F$13)</f>
        <v>806.2808535564853</v>
      </c>
      <c r="AC12" s="92">
        <f t="shared" si="6"/>
        <v>7256.527682008368</v>
      </c>
      <c r="AD12" s="95">
        <f>Производство!AD$9*('Расх перем'!$F$12+'Расх перем'!$F$13)</f>
        <v>7708.044959999999</v>
      </c>
      <c r="AE12" s="95">
        <f>Производство!AE$9*('Расх перем'!$F$12+'Расх перем'!$F$13)</f>
        <v>7708.044959999999</v>
      </c>
      <c r="AF12" s="95">
        <f>Производство!AF$9*('Расх перем'!$F$12+'Расх перем'!$F$13)</f>
        <v>7708.044959999999</v>
      </c>
      <c r="AG12" s="95">
        <f>Производство!AG$9*('Расх перем'!$F$12+'Расх перем'!$F$13)</f>
        <v>7708.044959999999</v>
      </c>
      <c r="AH12" s="95">
        <f>Производство!AH$9*('Расх перем'!$F$12+'Расх перем'!$F$13)</f>
        <v>7708.044959999999</v>
      </c>
      <c r="AI12" s="95">
        <f>Производство!AI$9*('Расх перем'!$F$12+'Расх перем'!$F$13)</f>
        <v>7708.044959999999</v>
      </c>
    </row>
    <row r="13" spans="1:35" ht="12.75">
      <c r="A13" s="94" t="s">
        <v>345</v>
      </c>
      <c r="B13" s="91">
        <f>P13+AC13+AD13+AE13+AF13+AG13+AH13</f>
        <v>15080.658898744769</v>
      </c>
      <c r="C13" s="92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>
        <f>Производство!N$9*('Расх перем'!$F$14+'Расх перем'!$F$15)</f>
        <v>256.4737907949791</v>
      </c>
      <c r="O13" s="95">
        <f>Производство!O$9*('Расх перем'!$F$14+'Расх перем'!$F$15)</f>
        <v>256.4737907949791</v>
      </c>
      <c r="P13" s="92">
        <f t="shared" si="5"/>
        <v>512.9475815899582</v>
      </c>
      <c r="Q13" s="95">
        <f>Производство!Q$9*('Расх перем'!$F$14+'Расх перем'!$F$15)</f>
        <v>256.4737907949791</v>
      </c>
      <c r="R13" s="95">
        <f>Производство!R$9*('Расх перем'!$F$14+'Расх перем'!$F$15)</f>
        <v>256.4737907949791</v>
      </c>
      <c r="S13" s="95">
        <f>Производство!S$9*('Расх перем'!$F$14+'Расх перем'!$F$15)</f>
        <v>256.4737907949791</v>
      </c>
      <c r="T13" s="95">
        <f>Производство!T$9*('Расх перем'!$F$14+'Расх перем'!$F$15)</f>
        <v>256.4737907949791</v>
      </c>
      <c r="U13" s="95">
        <f>Производство!U$9*('Расх перем'!$F$14+'Расх перем'!$F$15)</f>
        <v>256.4737907949791</v>
      </c>
      <c r="V13" s="95">
        <f>Производство!V$9*('Расх перем'!$F$14+'Расх перем'!$F$15)</f>
        <v>256.4737907949791</v>
      </c>
      <c r="W13" s="95">
        <f>Производство!W$9*('Расх перем'!$F$14+'Расх перем'!$F$15)</f>
        <v>256.4737907949791</v>
      </c>
      <c r="X13" s="95">
        <f>Производство!X$9*('Расх перем'!$F$14+'Расх перем'!$F$15)</f>
        <v>0</v>
      </c>
      <c r="Y13" s="95">
        <f>Производство!Y$9*('Расх перем'!$F$14+'Расх перем'!$F$15)</f>
        <v>0</v>
      </c>
      <c r="Z13" s="95">
        <f>Производство!Z$9*('Расх перем'!$F$14+'Расх перем'!$F$15)</f>
        <v>0</v>
      </c>
      <c r="AA13" s="95">
        <f>Производство!AA$9*('Расх перем'!$F$14+'Расх перем'!$F$15)</f>
        <v>256.4737907949791</v>
      </c>
      <c r="AB13" s="95">
        <f>Производство!AB$9*('Расх перем'!$F$14+'Расх перем'!$F$15)</f>
        <v>256.4737907949791</v>
      </c>
      <c r="AC13" s="92">
        <f t="shared" si="6"/>
        <v>2308.264117154812</v>
      </c>
      <c r="AD13" s="95">
        <f>Производство!AD$9*('Расх перем'!$F$14+'Расх перем'!$F$15)</f>
        <v>2451.88944</v>
      </c>
      <c r="AE13" s="95">
        <f>Производство!AE$9*('Расх перем'!$F$14+'Расх перем'!$F$15)</f>
        <v>2451.88944</v>
      </c>
      <c r="AF13" s="95">
        <f>Производство!AF$9*('Расх перем'!$F$14+'Расх перем'!$F$15)</f>
        <v>2451.88944</v>
      </c>
      <c r="AG13" s="95">
        <f>Производство!AG$9*('Расх перем'!$F$14+'Расх перем'!$F$15)</f>
        <v>2451.88944</v>
      </c>
      <c r="AH13" s="95">
        <f>Производство!AH$9*('Расх перем'!$F$14+'Расх перем'!$F$15)</f>
        <v>2451.88944</v>
      </c>
      <c r="AI13" s="95">
        <f>Производство!AI$9*('Расх перем'!$F$14+'Расх перем'!$F$15)</f>
        <v>2451.88944</v>
      </c>
    </row>
    <row r="14" spans="1:35" ht="12.75">
      <c r="A14" s="94" t="s">
        <v>346</v>
      </c>
      <c r="B14" s="91">
        <f t="shared" si="3"/>
        <v>13796.487564853554</v>
      </c>
      <c r="C14" s="92"/>
      <c r="D14" s="95"/>
      <c r="E14" s="95"/>
      <c r="F14" s="95"/>
      <c r="G14" s="95"/>
      <c r="H14" s="95"/>
      <c r="I14" s="95"/>
      <c r="J14" s="95"/>
      <c r="K14" s="95">
        <f>Производство!K9*'Расх перем'!$F$21</f>
        <v>0</v>
      </c>
      <c r="L14" s="95">
        <f>Производство!L9*'Расх перем'!$F$21</f>
        <v>0</v>
      </c>
      <c r="M14" s="95">
        <f>Производство!M9*'Расх перем'!$F$21</f>
        <v>0</v>
      </c>
      <c r="N14" s="95">
        <f>Производство!N$9*('Расх перем'!$F$16)</f>
        <v>234.6341422594142</v>
      </c>
      <c r="O14" s="95">
        <f>Производство!O$9*('Расх перем'!$F$16)</f>
        <v>234.6341422594142</v>
      </c>
      <c r="P14" s="92">
        <f t="shared" si="5"/>
        <v>469.2682845188284</v>
      </c>
      <c r="Q14" s="95">
        <f>Производство!Q$9*('Расх перем'!$F$16)</f>
        <v>234.6341422594142</v>
      </c>
      <c r="R14" s="95">
        <f>Производство!R$9*('Расх перем'!$F$16)</f>
        <v>234.6341422594142</v>
      </c>
      <c r="S14" s="95">
        <f>Производство!S$9*('Расх перем'!$F$16)</f>
        <v>234.6341422594142</v>
      </c>
      <c r="T14" s="95">
        <f>Производство!T$9*('Расх перем'!$F$16)</f>
        <v>234.6341422594142</v>
      </c>
      <c r="U14" s="95">
        <f>Производство!U$9*('Расх перем'!$F$16)</f>
        <v>234.6341422594142</v>
      </c>
      <c r="V14" s="95">
        <f>Производство!V$9*('Расх перем'!$F$16)</f>
        <v>234.6341422594142</v>
      </c>
      <c r="W14" s="95">
        <f>Производство!W$9*('Расх перем'!$F$16)</f>
        <v>234.6341422594142</v>
      </c>
      <c r="X14" s="95">
        <f>Производство!X$9*('Расх перем'!$F$16)</f>
        <v>0</v>
      </c>
      <c r="Y14" s="95">
        <f>Производство!Y$9*('Расх перем'!$F$16)</f>
        <v>0</v>
      </c>
      <c r="Z14" s="95">
        <f>Производство!Z$9*('Расх перем'!$F$16)</f>
        <v>0</v>
      </c>
      <c r="AA14" s="95">
        <f>Производство!AA$9*('Расх перем'!$F$16)</f>
        <v>234.6341422594142</v>
      </c>
      <c r="AB14" s="95">
        <f>Производство!AB$9*('Расх перем'!$F$16)</f>
        <v>234.6341422594142</v>
      </c>
      <c r="AC14" s="92">
        <f t="shared" si="6"/>
        <v>2111.707280334728</v>
      </c>
      <c r="AD14" s="95">
        <f>Производство!AD$9*('Расх перем'!$F$16)</f>
        <v>2243.1023999999998</v>
      </c>
      <c r="AE14" s="95">
        <f>Производство!AE$9*('Расх перем'!$F$16)</f>
        <v>2243.1023999999998</v>
      </c>
      <c r="AF14" s="95">
        <f>Производство!AF$9*('Расх перем'!$F$16)</f>
        <v>2243.1023999999998</v>
      </c>
      <c r="AG14" s="95">
        <f>Производство!AG$9*('Расх перем'!$F$16)</f>
        <v>2243.1023999999998</v>
      </c>
      <c r="AH14" s="95">
        <f>Производство!AH$9*('Расх перем'!$F$16)</f>
        <v>2243.1023999999998</v>
      </c>
      <c r="AI14" s="95">
        <f>Производство!AI$9*('Расх перем'!$F$16)</f>
        <v>2243.1023999999998</v>
      </c>
    </row>
    <row r="15" spans="1:35" s="82" customFormat="1" ht="15" customHeight="1">
      <c r="A15" s="90" t="s">
        <v>15</v>
      </c>
      <c r="B15" s="91">
        <f t="shared" si="3"/>
        <v>137678.80937753967</v>
      </c>
      <c r="C15" s="96"/>
      <c r="D15" s="92">
        <f aca="true" t="shared" si="7" ref="D15:AI15">D5-D7</f>
        <v>0</v>
      </c>
      <c r="E15" s="92">
        <f t="shared" si="7"/>
        <v>0</v>
      </c>
      <c r="F15" s="92">
        <f t="shared" si="7"/>
        <v>0</v>
      </c>
      <c r="G15" s="92">
        <f t="shared" si="7"/>
        <v>0</v>
      </c>
      <c r="H15" s="92">
        <f t="shared" si="7"/>
        <v>0</v>
      </c>
      <c r="I15" s="92">
        <f t="shared" si="7"/>
        <v>0</v>
      </c>
      <c r="J15" s="92">
        <f t="shared" si="7"/>
        <v>0</v>
      </c>
      <c r="K15" s="92">
        <f t="shared" si="7"/>
        <v>0</v>
      </c>
      <c r="L15" s="92">
        <f t="shared" si="7"/>
        <v>0</v>
      </c>
      <c r="M15" s="92">
        <f t="shared" si="7"/>
        <v>0</v>
      </c>
      <c r="N15" s="92">
        <f t="shared" si="7"/>
        <v>2341.4763499581586</v>
      </c>
      <c r="O15" s="92">
        <f t="shared" si="7"/>
        <v>2341.4763499581586</v>
      </c>
      <c r="P15" s="92">
        <f t="shared" si="7"/>
        <v>4682.952699916317</v>
      </c>
      <c r="Q15" s="92">
        <f t="shared" si="7"/>
        <v>2341.4763499581586</v>
      </c>
      <c r="R15" s="92">
        <f t="shared" si="7"/>
        <v>2341.4763499581586</v>
      </c>
      <c r="S15" s="92">
        <f t="shared" si="7"/>
        <v>2341.4763499581586</v>
      </c>
      <c r="T15" s="92">
        <f t="shared" si="7"/>
        <v>2341.4763499581586</v>
      </c>
      <c r="U15" s="92">
        <f t="shared" si="7"/>
        <v>2341.4763499581586</v>
      </c>
      <c r="V15" s="92">
        <f t="shared" si="7"/>
        <v>2341.4763499581586</v>
      </c>
      <c r="W15" s="92">
        <f t="shared" si="7"/>
        <v>2341.4763499581586</v>
      </c>
      <c r="X15" s="92">
        <f t="shared" si="7"/>
        <v>0</v>
      </c>
      <c r="Y15" s="92">
        <f t="shared" si="7"/>
        <v>0</v>
      </c>
      <c r="Z15" s="92">
        <f t="shared" si="7"/>
        <v>0</v>
      </c>
      <c r="AA15" s="92">
        <f t="shared" si="7"/>
        <v>2341.4763499581586</v>
      </c>
      <c r="AB15" s="92">
        <f t="shared" si="7"/>
        <v>2341.4763499581586</v>
      </c>
      <c r="AC15" s="92">
        <f t="shared" si="7"/>
        <v>21073.287149623422</v>
      </c>
      <c r="AD15" s="92">
        <f t="shared" si="7"/>
        <v>22384.51390559999</v>
      </c>
      <c r="AE15" s="92">
        <f t="shared" si="7"/>
        <v>22384.51390559999</v>
      </c>
      <c r="AF15" s="92">
        <f t="shared" si="7"/>
        <v>22384.51390559999</v>
      </c>
      <c r="AG15" s="92">
        <f t="shared" si="7"/>
        <v>22384.51390559999</v>
      </c>
      <c r="AH15" s="92">
        <f t="shared" si="7"/>
        <v>22384.51390559999</v>
      </c>
      <c r="AI15" s="92">
        <f t="shared" si="7"/>
        <v>22384.51390559999</v>
      </c>
    </row>
    <row r="16" spans="1:35" ht="15" customHeight="1">
      <c r="A16" s="97" t="s">
        <v>147</v>
      </c>
      <c r="B16" s="91">
        <f t="shared" si="3"/>
        <v>13680.2363</v>
      </c>
      <c r="C16" s="92"/>
      <c r="D16" s="95"/>
      <c r="E16" s="95"/>
      <c r="F16" s="95">
        <f>Пост!$C$14+Пост!$C$16+Пост!$C$19</f>
        <v>166.83215</v>
      </c>
      <c r="G16" s="95">
        <f>Пост!$C$14+Пост!$C$16+Пост!$C$19</f>
        <v>166.83215</v>
      </c>
      <c r="H16" s="95">
        <f>Пост!$C$14+Пост!$C$16+Пост!$C$19</f>
        <v>166.83215</v>
      </c>
      <c r="I16" s="95">
        <f>Пост!$C$14+Пост!$C$16+Пост!$C$19</f>
        <v>166.83215</v>
      </c>
      <c r="J16" s="95">
        <f>Пост!$C$14+Пост!$C$16+Пост!$C$19</f>
        <v>166.83215</v>
      </c>
      <c r="K16" s="95">
        <f>Пост!$C$14+Пост!$C$16+Пост!$C$19</f>
        <v>166.83215</v>
      </c>
      <c r="L16" s="95">
        <f>Пост!$C$14+Пост!$C$16+Пост!$C$19</f>
        <v>166.83215</v>
      </c>
      <c r="M16" s="95">
        <f>Пост!$C$14+Пост!$C$16+Пост!$C$19</f>
        <v>166.83215</v>
      </c>
      <c r="N16" s="95">
        <f>Пост!$C$14+Пост!$C$16+Пост!$C$19</f>
        <v>166.83215</v>
      </c>
      <c r="O16" s="95">
        <f>Пост!$C$14+Пост!$C$16+Пост!$C$19</f>
        <v>166.83215</v>
      </c>
      <c r="P16" s="92">
        <f aca="true" t="shared" si="8" ref="P16:P21">SUM(D16:O16)</f>
        <v>1668.3214999999998</v>
      </c>
      <c r="Q16" s="95">
        <f>Пост!$D$14+Пост!$D$16+Пост!$D$19</f>
        <v>166.83215</v>
      </c>
      <c r="R16" s="95">
        <f>Пост!$D$14+Пост!$D$16+Пост!$D$19</f>
        <v>166.83215</v>
      </c>
      <c r="S16" s="95">
        <f>Пост!$D$14+Пост!$D$16+Пост!$D$19</f>
        <v>166.83215</v>
      </c>
      <c r="T16" s="95">
        <f>Пост!$D$14+Пост!$D$16+Пост!$D$19</f>
        <v>166.83215</v>
      </c>
      <c r="U16" s="95">
        <f>Пост!$D$14+Пост!$D$16+Пост!$D$19</f>
        <v>166.83215</v>
      </c>
      <c r="V16" s="95">
        <f>Пост!$D$14+Пост!$D$16+Пост!$D$19</f>
        <v>166.83215</v>
      </c>
      <c r="W16" s="95">
        <f>Пост!$D$14+Пост!$D$16+Пост!$D$19</f>
        <v>166.83215</v>
      </c>
      <c r="X16" s="95">
        <f>Пост!$D$14+Пост!$D$16+Пост!$D$19</f>
        <v>166.83215</v>
      </c>
      <c r="Y16" s="95">
        <f>Пост!$D$14+Пост!$D$16+Пост!$D$19</f>
        <v>166.83215</v>
      </c>
      <c r="Z16" s="95">
        <f>Пост!$D$14+Пост!$D$16+Пост!$D$19</f>
        <v>166.83215</v>
      </c>
      <c r="AA16" s="95">
        <f>Пост!$D$14+Пост!$D$16+Пост!$D$19</f>
        <v>166.83215</v>
      </c>
      <c r="AB16" s="95">
        <f>Пост!$D$14+Пост!$D$16+Пост!$D$19</f>
        <v>166.83215</v>
      </c>
      <c r="AC16" s="92">
        <f aca="true" t="shared" si="9" ref="AC16:AC21">SUM(Q16:AB16)</f>
        <v>2001.9857999999997</v>
      </c>
      <c r="AD16" s="95">
        <f>(Пост!E14+Пост!E16+Пост!E19)*12</f>
        <v>2001.9858000000002</v>
      </c>
      <c r="AE16" s="95">
        <f>(Пост!F14+Пост!F16+Пост!F19)*12</f>
        <v>2001.9858000000002</v>
      </c>
      <c r="AF16" s="95">
        <f>(Пост!G14+Пост!G16+Пост!G19)*12</f>
        <v>2001.9858000000002</v>
      </c>
      <c r="AG16" s="95">
        <f>(Пост!H14+Пост!H16+Пост!H19)*12</f>
        <v>2001.9858000000002</v>
      </c>
      <c r="AH16" s="95">
        <f>(Пост!I14+Пост!I16+Пост!I19)*12</f>
        <v>2001.9858000000002</v>
      </c>
      <c r="AI16" s="95">
        <f>(Пост!J14+Пост!J16+Пост!J19)*12</f>
        <v>2001.9858000000002</v>
      </c>
    </row>
    <row r="17" spans="1:35" ht="15" customHeight="1">
      <c r="A17" s="97" t="s">
        <v>75</v>
      </c>
      <c r="B17" s="91">
        <f t="shared" si="3"/>
        <v>51298.557714500006</v>
      </c>
      <c r="C17" s="92"/>
      <c r="D17" s="95"/>
      <c r="E17" s="95"/>
      <c r="F17" s="95">
        <f>Пост!$C$29/10</f>
        <v>625.5921672500001</v>
      </c>
      <c r="G17" s="95">
        <f>Пост!$C$29/10</f>
        <v>625.5921672500001</v>
      </c>
      <c r="H17" s="95">
        <f>Пост!$C$29/10</f>
        <v>625.5921672500001</v>
      </c>
      <c r="I17" s="95">
        <f>Пост!$C$29/10</f>
        <v>625.5921672500001</v>
      </c>
      <c r="J17" s="95">
        <f>Пост!$C$29/10</f>
        <v>625.5921672500001</v>
      </c>
      <c r="K17" s="95">
        <f>Пост!$C$29/10</f>
        <v>625.5921672500001</v>
      </c>
      <c r="L17" s="95">
        <f>Пост!$C$29/10</f>
        <v>625.5921672500001</v>
      </c>
      <c r="M17" s="95">
        <f>Пост!$C$29/10</f>
        <v>625.5921672500001</v>
      </c>
      <c r="N17" s="95">
        <f>Пост!$C$29/10</f>
        <v>625.5921672500001</v>
      </c>
      <c r="O17" s="95">
        <f>Пост!$C$29/10</f>
        <v>625.5921672500001</v>
      </c>
      <c r="P17" s="92">
        <f t="shared" si="8"/>
        <v>6255.9216725</v>
      </c>
      <c r="Q17" s="95">
        <f>Пост!$D$29/12</f>
        <v>625.5921672500001</v>
      </c>
      <c r="R17" s="95">
        <f>Пост!$D$29/12</f>
        <v>625.5921672500001</v>
      </c>
      <c r="S17" s="95">
        <f>Пост!$D$29/12</f>
        <v>625.5921672500001</v>
      </c>
      <c r="T17" s="95">
        <f>Пост!$D$29/12</f>
        <v>625.5921672500001</v>
      </c>
      <c r="U17" s="95">
        <f>Пост!$D$29/12</f>
        <v>625.5921672500001</v>
      </c>
      <c r="V17" s="95">
        <f>Пост!$D$29/12</f>
        <v>625.5921672500001</v>
      </c>
      <c r="W17" s="95">
        <f>Пост!$D$29/12</f>
        <v>625.5921672500001</v>
      </c>
      <c r="X17" s="95">
        <f>Пост!$D$29/12</f>
        <v>625.5921672500001</v>
      </c>
      <c r="Y17" s="95">
        <f>Пост!$D$29/12</f>
        <v>625.5921672500001</v>
      </c>
      <c r="Z17" s="95">
        <f>Пост!$D$29/12</f>
        <v>625.5921672500001</v>
      </c>
      <c r="AA17" s="95">
        <f>Пост!$D$29/12</f>
        <v>625.5921672500001</v>
      </c>
      <c r="AB17" s="95">
        <f>Пост!$D$29/12</f>
        <v>625.5921672500001</v>
      </c>
      <c r="AC17" s="92">
        <f t="shared" si="9"/>
        <v>7507.106006999999</v>
      </c>
      <c r="AD17" s="95">
        <f>Пост!E29</f>
        <v>7507.106007000001</v>
      </c>
      <c r="AE17" s="95">
        <f>Пост!F29</f>
        <v>7507.106007000001</v>
      </c>
      <c r="AF17" s="95">
        <f>Пост!G29</f>
        <v>7507.106007000001</v>
      </c>
      <c r="AG17" s="95">
        <f>Пост!H29</f>
        <v>7507.106007000001</v>
      </c>
      <c r="AH17" s="95">
        <f>Пост!I29</f>
        <v>7507.106007000001</v>
      </c>
      <c r="AI17" s="95">
        <f>Пост!J29</f>
        <v>7507.106007000001</v>
      </c>
    </row>
    <row r="18" spans="1:35" ht="15" customHeight="1">
      <c r="A18" s="97" t="s">
        <v>25</v>
      </c>
      <c r="B18" s="91">
        <f t="shared" si="3"/>
        <v>17333.780566422323</v>
      </c>
      <c r="C18" s="92"/>
      <c r="D18" s="95">
        <f>кр!C9</f>
        <v>0</v>
      </c>
      <c r="E18" s="95">
        <f>кр!D9</f>
        <v>245.23212956199998</v>
      </c>
      <c r="F18" s="95">
        <f>кр!E9</f>
        <v>350.33161365999996</v>
      </c>
      <c r="G18" s="95">
        <f>кр!F9</f>
        <v>350.33161365999996</v>
      </c>
      <c r="H18" s="95">
        <f>кр!G9</f>
        <v>350.33161365999996</v>
      </c>
      <c r="I18" s="95">
        <f>кр!H9</f>
        <v>350.33161365999996</v>
      </c>
      <c r="J18" s="95">
        <f>кр!I9</f>
        <v>350.33161365999996</v>
      </c>
      <c r="K18" s="95">
        <f>кр!J9</f>
        <v>350.33161365999996</v>
      </c>
      <c r="L18" s="95">
        <f>кр!K9</f>
        <v>350.33161365999996</v>
      </c>
      <c r="M18" s="95">
        <f>кр!L9</f>
        <v>350.33161365999996</v>
      </c>
      <c r="N18" s="95">
        <f>кр!M9</f>
        <v>350.33161365999996</v>
      </c>
      <c r="O18" s="95">
        <f>кр!N9</f>
        <v>350.33161365999996</v>
      </c>
      <c r="P18" s="92">
        <f t="shared" si="8"/>
        <v>3748.5482661620003</v>
      </c>
      <c r="Q18" s="95">
        <f>кр!P9</f>
        <v>372.1981452126117</v>
      </c>
      <c r="R18" s="95">
        <f>кр!Q9</f>
        <v>367.02872652910315</v>
      </c>
      <c r="S18" s="95">
        <f>кр!R9</f>
        <v>361.8593078455947</v>
      </c>
      <c r="T18" s="95">
        <f>кр!S9</f>
        <v>356.6898891620862</v>
      </c>
      <c r="U18" s="95">
        <f>кр!T9</f>
        <v>351.52047047857764</v>
      </c>
      <c r="V18" s="95">
        <f>кр!U9</f>
        <v>346.35105179506917</v>
      </c>
      <c r="W18" s="95">
        <f>кр!V9</f>
        <v>341.18163311156064</v>
      </c>
      <c r="X18" s="95">
        <f>кр!W9</f>
        <v>336.0122144280522</v>
      </c>
      <c r="Y18" s="95">
        <f>кр!X9</f>
        <v>330.8427957445437</v>
      </c>
      <c r="Z18" s="95">
        <f>кр!Y9</f>
        <v>325.6733770610352</v>
      </c>
      <c r="AA18" s="95">
        <f>кр!Z9</f>
        <v>320.50395837752666</v>
      </c>
      <c r="AB18" s="95">
        <f>кр!AA9</f>
        <v>315.3345396940182</v>
      </c>
      <c r="AC18" s="92">
        <f t="shared" si="9"/>
        <v>4125.196109439779</v>
      </c>
      <c r="AD18" s="95">
        <f>кр!AO9</f>
        <v>3380.7998190145554</v>
      </c>
      <c r="AE18" s="95">
        <f>кр!BB9</f>
        <v>2636.4035285893324</v>
      </c>
      <c r="AF18" s="95">
        <f>кр!BO9</f>
        <v>1892.0072381641085</v>
      </c>
      <c r="AG18" s="95">
        <f>кр!CB9</f>
        <v>1147.610947738885</v>
      </c>
      <c r="AH18" s="95">
        <f>кр!CO9</f>
        <v>403.2146573136617</v>
      </c>
      <c r="AI18" s="95">
        <f>кр!DB9</f>
        <v>-9.70885594142601E-13</v>
      </c>
    </row>
    <row r="19" spans="1:35" ht="15" customHeight="1">
      <c r="A19" s="97" t="s">
        <v>240</v>
      </c>
      <c r="B19" s="91">
        <f t="shared" si="3"/>
        <v>55366.23479661737</v>
      </c>
      <c r="C19" s="96"/>
      <c r="D19" s="95">
        <f>D15-D16-D18-D17</f>
        <v>0</v>
      </c>
      <c r="E19" s="95">
        <f aca="true" t="shared" si="10" ref="E19:O19">E15-E16-E18-E17</f>
        <v>-245.23212956199998</v>
      </c>
      <c r="F19" s="95">
        <f t="shared" si="10"/>
        <v>-1142.7559309100002</v>
      </c>
      <c r="G19" s="95">
        <f t="shared" si="10"/>
        <v>-1142.7559309100002</v>
      </c>
      <c r="H19" s="95">
        <f t="shared" si="10"/>
        <v>-1142.7559309100002</v>
      </c>
      <c r="I19" s="95">
        <f t="shared" si="10"/>
        <v>-1142.7559309100002</v>
      </c>
      <c r="J19" s="95">
        <f t="shared" si="10"/>
        <v>-1142.7559309100002</v>
      </c>
      <c r="K19" s="95">
        <f t="shared" si="10"/>
        <v>-1142.7559309100002</v>
      </c>
      <c r="L19" s="95">
        <f t="shared" si="10"/>
        <v>-1142.7559309100002</v>
      </c>
      <c r="M19" s="95">
        <f t="shared" si="10"/>
        <v>-1142.7559309100002</v>
      </c>
      <c r="N19" s="95">
        <f t="shared" si="10"/>
        <v>1198.7204190481584</v>
      </c>
      <c r="O19" s="95">
        <f t="shared" si="10"/>
        <v>1198.7204190481584</v>
      </c>
      <c r="P19" s="92">
        <f t="shared" si="8"/>
        <v>-6989.838738745682</v>
      </c>
      <c r="Q19" s="95">
        <f aca="true" t="shared" si="11" ref="Q19:AB19">Q15-Q16-Q18-Q17</f>
        <v>1176.8538874955466</v>
      </c>
      <c r="R19" s="95">
        <f t="shared" si="11"/>
        <v>1182.0233061790552</v>
      </c>
      <c r="S19" s="95">
        <f t="shared" si="11"/>
        <v>1187.1927248625636</v>
      </c>
      <c r="T19" s="95">
        <f t="shared" si="11"/>
        <v>1192.362143546072</v>
      </c>
      <c r="U19" s="95">
        <f t="shared" si="11"/>
        <v>1197.5315622295807</v>
      </c>
      <c r="V19" s="95">
        <f t="shared" si="11"/>
        <v>1202.700980913089</v>
      </c>
      <c r="W19" s="95">
        <f t="shared" si="11"/>
        <v>1207.8703995965977</v>
      </c>
      <c r="X19" s="95">
        <f t="shared" si="11"/>
        <v>-1128.4365316780522</v>
      </c>
      <c r="Y19" s="95">
        <f t="shared" si="11"/>
        <v>-1123.2671129945438</v>
      </c>
      <c r="Z19" s="95">
        <f t="shared" si="11"/>
        <v>-1118.0976943110354</v>
      </c>
      <c r="AA19" s="95">
        <f t="shared" si="11"/>
        <v>1228.5480743306316</v>
      </c>
      <c r="AB19" s="95">
        <f t="shared" si="11"/>
        <v>1233.7174930141402</v>
      </c>
      <c r="AC19" s="92">
        <f t="shared" si="9"/>
        <v>7438.999233183643</v>
      </c>
      <c r="AD19" s="95">
        <f aca="true" t="shared" si="12" ref="AD19:AI19">AD15-AD16-AD18-AD17</f>
        <v>9494.622279585434</v>
      </c>
      <c r="AE19" s="95">
        <f t="shared" si="12"/>
        <v>10239.018570010656</v>
      </c>
      <c r="AF19" s="95">
        <f t="shared" si="12"/>
        <v>10983.414860435882</v>
      </c>
      <c r="AG19" s="95">
        <f t="shared" si="12"/>
        <v>11727.811150861104</v>
      </c>
      <c r="AH19" s="95">
        <f t="shared" si="12"/>
        <v>12472.207441286326</v>
      </c>
      <c r="AI19" s="95">
        <f t="shared" si="12"/>
        <v>12875.42209859999</v>
      </c>
    </row>
    <row r="20" spans="1:35" ht="15" customHeight="1">
      <c r="A20" s="97" t="s">
        <v>214</v>
      </c>
      <c r="B20" s="91">
        <f t="shared" si="3"/>
        <v>61.72777777777779</v>
      </c>
      <c r="C20" s="92"/>
      <c r="D20" s="95">
        <f>IF(D19+C22&lt;0,0,IF(C22&lt;0,(C22+D19)*Исх!$C$21,D19*Исх!$C$21))</f>
        <v>0</v>
      </c>
      <c r="E20" s="95">
        <f>IF(E19+D22&lt;0,0,IF(D22&lt;0,(D22+E19)*Исх!$C$21,E19*Исх!$C$21))</f>
        <v>0</v>
      </c>
      <c r="F20" s="95">
        <f>Исх!$E$48/12</f>
        <v>0.7527777777777779</v>
      </c>
      <c r="G20" s="95">
        <f>Исх!$E$48/12</f>
        <v>0.7527777777777779</v>
      </c>
      <c r="H20" s="95">
        <f>Исх!$E$48/12</f>
        <v>0.7527777777777779</v>
      </c>
      <c r="I20" s="95">
        <f>Исх!$E$48/12</f>
        <v>0.7527777777777779</v>
      </c>
      <c r="J20" s="95">
        <f>Исх!$E$48/12</f>
        <v>0.7527777777777779</v>
      </c>
      <c r="K20" s="95">
        <f>Исх!$E$48/12</f>
        <v>0.7527777777777779</v>
      </c>
      <c r="L20" s="95">
        <f>Исх!$E$48/12</f>
        <v>0.7527777777777779</v>
      </c>
      <c r="M20" s="95">
        <f>Исх!$E$48/12</f>
        <v>0.7527777777777779</v>
      </c>
      <c r="N20" s="95">
        <f>Исх!$E$48/12</f>
        <v>0.7527777777777779</v>
      </c>
      <c r="O20" s="95">
        <f>Исх!$E$48/12</f>
        <v>0.7527777777777779</v>
      </c>
      <c r="P20" s="92">
        <f t="shared" si="8"/>
        <v>7.52777777777778</v>
      </c>
      <c r="Q20" s="95">
        <f>Исх!$E$48/12</f>
        <v>0.7527777777777779</v>
      </c>
      <c r="R20" s="95">
        <f>Исх!$E$48/12</f>
        <v>0.7527777777777779</v>
      </c>
      <c r="S20" s="95">
        <f>Исх!$E$48/12</f>
        <v>0.7527777777777779</v>
      </c>
      <c r="T20" s="95">
        <f>Исх!$E$48/12</f>
        <v>0.7527777777777779</v>
      </c>
      <c r="U20" s="95">
        <f>Исх!$E$48/12</f>
        <v>0.7527777777777779</v>
      </c>
      <c r="V20" s="95">
        <f>Исх!$E$48/12</f>
        <v>0.7527777777777779</v>
      </c>
      <c r="W20" s="95">
        <f>Исх!$E$48/12</f>
        <v>0.7527777777777779</v>
      </c>
      <c r="X20" s="95">
        <f>Исх!$E$48/12</f>
        <v>0.7527777777777779</v>
      </c>
      <c r="Y20" s="95">
        <f>Исх!$E$48/12</f>
        <v>0.7527777777777779</v>
      </c>
      <c r="Z20" s="95">
        <f>Исх!$E$48/12</f>
        <v>0.7527777777777779</v>
      </c>
      <c r="AA20" s="95">
        <f>Исх!$E$48/12</f>
        <v>0.7527777777777779</v>
      </c>
      <c r="AB20" s="95">
        <f>Исх!$E$48/12</f>
        <v>0.7527777777777779</v>
      </c>
      <c r="AC20" s="92">
        <f t="shared" si="9"/>
        <v>9.033333333333337</v>
      </c>
      <c r="AD20" s="95">
        <f>Исх!$E$48</f>
        <v>9.033333333333335</v>
      </c>
      <c r="AE20" s="95">
        <f>Исх!$E$48</f>
        <v>9.033333333333335</v>
      </c>
      <c r="AF20" s="95">
        <f>Исх!$E$48</f>
        <v>9.033333333333335</v>
      </c>
      <c r="AG20" s="95">
        <f>Исх!$E$48</f>
        <v>9.033333333333335</v>
      </c>
      <c r="AH20" s="95">
        <f>Исх!$E$48</f>
        <v>9.033333333333335</v>
      </c>
      <c r="AI20" s="95">
        <f>Исх!$E$48</f>
        <v>9.033333333333335</v>
      </c>
    </row>
    <row r="21" spans="1:35" s="82" customFormat="1" ht="15" customHeight="1">
      <c r="A21" s="90" t="s">
        <v>253</v>
      </c>
      <c r="B21" s="91">
        <f t="shared" si="3"/>
        <v>55304.50701883959</v>
      </c>
      <c r="C21" s="96"/>
      <c r="D21" s="92">
        <f aca="true" t="shared" si="13" ref="D21:Q21">D19-D20</f>
        <v>0</v>
      </c>
      <c r="E21" s="92">
        <f>E19-E20</f>
        <v>-245.23212956199998</v>
      </c>
      <c r="F21" s="92">
        <f t="shared" si="13"/>
        <v>-1143.508708687778</v>
      </c>
      <c r="G21" s="92">
        <f t="shared" si="13"/>
        <v>-1143.508708687778</v>
      </c>
      <c r="H21" s="92">
        <f t="shared" si="13"/>
        <v>-1143.508708687778</v>
      </c>
      <c r="I21" s="92">
        <f t="shared" si="13"/>
        <v>-1143.508708687778</v>
      </c>
      <c r="J21" s="92">
        <f t="shared" si="13"/>
        <v>-1143.508708687778</v>
      </c>
      <c r="K21" s="92">
        <f t="shared" si="13"/>
        <v>-1143.508708687778</v>
      </c>
      <c r="L21" s="92">
        <f t="shared" si="13"/>
        <v>-1143.508708687778</v>
      </c>
      <c r="M21" s="92">
        <f t="shared" si="13"/>
        <v>-1143.508708687778</v>
      </c>
      <c r="N21" s="92">
        <f t="shared" si="13"/>
        <v>1197.9676412703807</v>
      </c>
      <c r="O21" s="92">
        <f t="shared" si="13"/>
        <v>1197.9676412703807</v>
      </c>
      <c r="P21" s="92">
        <f t="shared" si="8"/>
        <v>-6997.36651652346</v>
      </c>
      <c r="Q21" s="92">
        <f t="shared" si="13"/>
        <v>1176.1011097177688</v>
      </c>
      <c r="R21" s="92">
        <f aca="true" t="shared" si="14" ref="R21:AF21">R19-R20</f>
        <v>1181.2705284012775</v>
      </c>
      <c r="S21" s="92">
        <f t="shared" si="14"/>
        <v>1186.439947084786</v>
      </c>
      <c r="T21" s="92">
        <f t="shared" si="14"/>
        <v>1191.6093657682943</v>
      </c>
      <c r="U21" s="92">
        <f t="shared" si="14"/>
        <v>1196.778784451803</v>
      </c>
      <c r="V21" s="92">
        <f t="shared" si="14"/>
        <v>1201.9482031353114</v>
      </c>
      <c r="W21" s="92">
        <f t="shared" si="14"/>
        <v>1207.11762181882</v>
      </c>
      <c r="X21" s="92">
        <f t="shared" si="14"/>
        <v>-1129.18930945583</v>
      </c>
      <c r="Y21" s="92">
        <f t="shared" si="14"/>
        <v>-1124.0198907723216</v>
      </c>
      <c r="Z21" s="92">
        <f t="shared" si="14"/>
        <v>-1118.8504720888131</v>
      </c>
      <c r="AA21" s="92">
        <f t="shared" si="14"/>
        <v>1227.7952965528539</v>
      </c>
      <c r="AB21" s="92">
        <f t="shared" si="14"/>
        <v>1232.9647152363625</v>
      </c>
      <c r="AC21" s="92">
        <f t="shared" si="9"/>
        <v>7429.96589985031</v>
      </c>
      <c r="AD21" s="92">
        <f t="shared" si="14"/>
        <v>9485.5889462521</v>
      </c>
      <c r="AE21" s="92">
        <f t="shared" si="14"/>
        <v>10229.985236677323</v>
      </c>
      <c r="AF21" s="92">
        <f t="shared" si="14"/>
        <v>10974.381527102549</v>
      </c>
      <c r="AG21" s="92">
        <f>AG19-AG20</f>
        <v>11718.77781752777</v>
      </c>
      <c r="AH21" s="92">
        <f>AH19-AH20</f>
        <v>12463.174107952993</v>
      </c>
      <c r="AI21" s="92">
        <f>AI19-AI20</f>
        <v>12866.388765266656</v>
      </c>
    </row>
    <row r="22" spans="1:35" ht="15" customHeight="1">
      <c r="A22" s="97" t="s">
        <v>254</v>
      </c>
      <c r="B22" s="98">
        <f>AH22</f>
        <v>55304.50701883959</v>
      </c>
      <c r="C22" s="99"/>
      <c r="D22" s="95">
        <f>C22+D21</f>
        <v>0</v>
      </c>
      <c r="E22" s="95">
        <f>D22+E21</f>
        <v>-245.23212956199998</v>
      </c>
      <c r="F22" s="95">
        <f aca="true" t="shared" si="15" ref="F22:O22">E22+F21</f>
        <v>-1388.7408382497779</v>
      </c>
      <c r="G22" s="95">
        <f t="shared" si="15"/>
        <v>-2532.249546937556</v>
      </c>
      <c r="H22" s="95">
        <f t="shared" si="15"/>
        <v>-3675.7582556253337</v>
      </c>
      <c r="I22" s="95">
        <f t="shared" si="15"/>
        <v>-4819.266964313112</v>
      </c>
      <c r="J22" s="95">
        <f t="shared" si="15"/>
        <v>-5962.77567300089</v>
      </c>
      <c r="K22" s="95">
        <f t="shared" si="15"/>
        <v>-7106.284381688667</v>
      </c>
      <c r="L22" s="95">
        <f t="shared" si="15"/>
        <v>-8249.793090376445</v>
      </c>
      <c r="M22" s="95">
        <f t="shared" si="15"/>
        <v>-9393.301799064222</v>
      </c>
      <c r="N22" s="95">
        <f t="shared" si="15"/>
        <v>-8195.33415779384</v>
      </c>
      <c r="O22" s="95">
        <f t="shared" si="15"/>
        <v>-6997.36651652346</v>
      </c>
      <c r="P22" s="92">
        <f>O22</f>
        <v>-6997.36651652346</v>
      </c>
      <c r="Q22" s="95">
        <f>P22+Q21</f>
        <v>-5821.265406805691</v>
      </c>
      <c r="R22" s="95">
        <f aca="true" t="shared" si="16" ref="R22:AA22">Q22+R21</f>
        <v>-4639.994878404414</v>
      </c>
      <c r="S22" s="95">
        <f t="shared" si="16"/>
        <v>-3453.554931319628</v>
      </c>
      <c r="T22" s="95">
        <f t="shared" si="16"/>
        <v>-2261.945565551334</v>
      </c>
      <c r="U22" s="95">
        <f t="shared" si="16"/>
        <v>-1065.166781099531</v>
      </c>
      <c r="V22" s="95">
        <f t="shared" si="16"/>
        <v>136.78142203578045</v>
      </c>
      <c r="W22" s="95">
        <f t="shared" si="16"/>
        <v>1343.8990438546004</v>
      </c>
      <c r="X22" s="95">
        <f t="shared" si="16"/>
        <v>214.70973439877048</v>
      </c>
      <c r="Y22" s="95">
        <f t="shared" si="16"/>
        <v>-909.3101563735511</v>
      </c>
      <c r="Z22" s="95">
        <f t="shared" si="16"/>
        <v>-2028.1606284623642</v>
      </c>
      <c r="AA22" s="95">
        <f t="shared" si="16"/>
        <v>-800.3653319095104</v>
      </c>
      <c r="AB22" s="95">
        <f>AA22+AB21</f>
        <v>432.59938332685215</v>
      </c>
      <c r="AC22" s="92">
        <f>AB22</f>
        <v>432.59938332685215</v>
      </c>
      <c r="AD22" s="95">
        <f aca="true" t="shared" si="17" ref="AD22:AI22">AC22+AD21</f>
        <v>9918.188329578952</v>
      </c>
      <c r="AE22" s="95">
        <f t="shared" si="17"/>
        <v>20148.173566256275</v>
      </c>
      <c r="AF22" s="95">
        <f t="shared" si="17"/>
        <v>31122.555093358824</v>
      </c>
      <c r="AG22" s="95">
        <f t="shared" si="17"/>
        <v>42841.332910886595</v>
      </c>
      <c r="AH22" s="95">
        <f t="shared" si="17"/>
        <v>55304.50701883959</v>
      </c>
      <c r="AI22" s="95">
        <f t="shared" si="17"/>
        <v>68170.89578410625</v>
      </c>
    </row>
    <row r="23" spans="1:178" ht="15" customHeight="1">
      <c r="A23" s="100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</row>
    <row r="24" spans="1:178" ht="12.75">
      <c r="A24" s="83"/>
      <c r="B24" s="101"/>
      <c r="C24" s="101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</row>
    <row r="25" spans="1:178" ht="15" customHeight="1">
      <c r="A25" s="100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</row>
    <row r="26" spans="1:35" ht="12.75" hidden="1">
      <c r="A26" s="102" t="s">
        <v>51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48" s="106" customFormat="1" ht="12.75" hidden="1">
      <c r="A27" s="314" t="s">
        <v>2</v>
      </c>
      <c r="B27" s="317" t="s">
        <v>0</v>
      </c>
      <c r="C27" s="103"/>
      <c r="D27" s="308">
        <f>D3</f>
        <v>2014</v>
      </c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10"/>
      <c r="Q27" s="308">
        <f>Q3</f>
        <v>2015</v>
      </c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10"/>
      <c r="AD27" s="104">
        <f aca="true" t="shared" si="18" ref="AD27:AI27">AD3</f>
        <v>2016</v>
      </c>
      <c r="AE27" s="104">
        <f t="shared" si="18"/>
        <v>2017</v>
      </c>
      <c r="AF27" s="104">
        <f t="shared" si="18"/>
        <v>2018</v>
      </c>
      <c r="AG27" s="104">
        <f t="shared" si="18"/>
        <v>2019</v>
      </c>
      <c r="AH27" s="104">
        <f t="shared" si="18"/>
        <v>2020</v>
      </c>
      <c r="AI27" s="104">
        <f t="shared" si="18"/>
        <v>2021</v>
      </c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</row>
    <row r="28" spans="1:48" s="106" customFormat="1" ht="19.5" customHeight="1" hidden="1">
      <c r="A28" s="315"/>
      <c r="B28" s="318"/>
      <c r="C28" s="107"/>
      <c r="D28" s="108">
        <f>D4</f>
        <v>1</v>
      </c>
      <c r="E28" s="108">
        <f aca="true" t="shared" si="19" ref="E28:O28">E4</f>
        <v>2</v>
      </c>
      <c r="F28" s="108">
        <f t="shared" si="19"/>
        <v>3</v>
      </c>
      <c r="G28" s="108">
        <f t="shared" si="19"/>
        <v>4</v>
      </c>
      <c r="H28" s="108">
        <f t="shared" si="19"/>
        <v>5</v>
      </c>
      <c r="I28" s="108">
        <f t="shared" si="19"/>
        <v>6</v>
      </c>
      <c r="J28" s="108">
        <f t="shared" si="19"/>
        <v>7</v>
      </c>
      <c r="K28" s="108">
        <f t="shared" si="19"/>
        <v>8</v>
      </c>
      <c r="L28" s="108">
        <f t="shared" si="19"/>
        <v>9</v>
      </c>
      <c r="M28" s="108">
        <f t="shared" si="19"/>
        <v>10</v>
      </c>
      <c r="N28" s="108">
        <f t="shared" si="19"/>
        <v>11</v>
      </c>
      <c r="O28" s="108">
        <f t="shared" si="19"/>
        <v>12</v>
      </c>
      <c r="P28" s="109" t="s">
        <v>0</v>
      </c>
      <c r="Q28" s="108">
        <f>Q4</f>
        <v>1</v>
      </c>
      <c r="R28" s="108">
        <f aca="true" t="shared" si="20" ref="R28:AB28">R4</f>
        <v>2</v>
      </c>
      <c r="S28" s="108">
        <f t="shared" si="20"/>
        <v>3</v>
      </c>
      <c r="T28" s="108">
        <f t="shared" si="20"/>
        <v>4</v>
      </c>
      <c r="U28" s="108">
        <f t="shared" si="20"/>
        <v>5</v>
      </c>
      <c r="V28" s="108">
        <f t="shared" si="20"/>
        <v>6</v>
      </c>
      <c r="W28" s="108">
        <f t="shared" si="20"/>
        <v>7</v>
      </c>
      <c r="X28" s="108">
        <f t="shared" si="20"/>
        <v>8</v>
      </c>
      <c r="Y28" s="108">
        <f t="shared" si="20"/>
        <v>9</v>
      </c>
      <c r="Z28" s="108">
        <f t="shared" si="20"/>
        <v>10</v>
      </c>
      <c r="AA28" s="108">
        <f t="shared" si="20"/>
        <v>11</v>
      </c>
      <c r="AB28" s="108">
        <f t="shared" si="20"/>
        <v>12</v>
      </c>
      <c r="AC28" s="109" t="s">
        <v>0</v>
      </c>
      <c r="AD28" s="109"/>
      <c r="AE28" s="109"/>
      <c r="AF28" s="109"/>
      <c r="AG28" s="109"/>
      <c r="AH28" s="109"/>
      <c r="AI28" s="109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</row>
    <row r="29" spans="1:48" s="106" customFormat="1" ht="12.75" hidden="1">
      <c r="A29" s="110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</row>
    <row r="30" spans="1:48" s="106" customFormat="1" ht="12.75" hidden="1">
      <c r="A30" s="110" t="s">
        <v>165</v>
      </c>
      <c r="B30" s="98">
        <f>P30+AC30+AD30+AE30+AF30+AG30+AH30</f>
        <v>0</v>
      </c>
      <c r="C30" s="112"/>
      <c r="D30" s="112">
        <f aca="true" t="shared" si="21" ref="D30:O30">D5*ндс</f>
        <v>0</v>
      </c>
      <c r="E30" s="112">
        <f t="shared" si="21"/>
        <v>0</v>
      </c>
      <c r="F30" s="112">
        <f t="shared" si="21"/>
        <v>0</v>
      </c>
      <c r="G30" s="112">
        <f t="shared" si="21"/>
        <v>0</v>
      </c>
      <c r="H30" s="112">
        <f t="shared" si="21"/>
        <v>0</v>
      </c>
      <c r="I30" s="112">
        <f t="shared" si="21"/>
        <v>0</v>
      </c>
      <c r="J30" s="112">
        <f t="shared" si="21"/>
        <v>0</v>
      </c>
      <c r="K30" s="112">
        <f t="shared" si="21"/>
        <v>0</v>
      </c>
      <c r="L30" s="112">
        <f t="shared" si="21"/>
        <v>0</v>
      </c>
      <c r="M30" s="112">
        <f t="shared" si="21"/>
        <v>0</v>
      </c>
      <c r="N30" s="112">
        <f t="shared" si="21"/>
        <v>0</v>
      </c>
      <c r="O30" s="112">
        <f t="shared" si="21"/>
        <v>0</v>
      </c>
      <c r="P30" s="113">
        <f>SUM(D30:O30)</f>
        <v>0</v>
      </c>
      <c r="Q30" s="112">
        <f aca="true" t="shared" si="22" ref="Q30:AB30">Q5*ндс</f>
        <v>0</v>
      </c>
      <c r="R30" s="112">
        <f t="shared" si="22"/>
        <v>0</v>
      </c>
      <c r="S30" s="112">
        <f t="shared" si="22"/>
        <v>0</v>
      </c>
      <c r="T30" s="112">
        <f t="shared" si="22"/>
        <v>0</v>
      </c>
      <c r="U30" s="112">
        <f t="shared" si="22"/>
        <v>0</v>
      </c>
      <c r="V30" s="112">
        <f t="shared" si="22"/>
        <v>0</v>
      </c>
      <c r="W30" s="112">
        <f t="shared" si="22"/>
        <v>0</v>
      </c>
      <c r="X30" s="112">
        <f t="shared" si="22"/>
        <v>0</v>
      </c>
      <c r="Y30" s="112">
        <f t="shared" si="22"/>
        <v>0</v>
      </c>
      <c r="Z30" s="112">
        <f t="shared" si="22"/>
        <v>0</v>
      </c>
      <c r="AA30" s="112">
        <f t="shared" si="22"/>
        <v>0</v>
      </c>
      <c r="AB30" s="112">
        <f t="shared" si="22"/>
        <v>0</v>
      </c>
      <c r="AC30" s="113">
        <f>SUM(Q30:AB30)</f>
        <v>0</v>
      </c>
      <c r="AD30" s="112">
        <f aca="true" t="shared" si="23" ref="AD30:AI30">AD5*ндс</f>
        <v>0</v>
      </c>
      <c r="AE30" s="112">
        <f t="shared" si="23"/>
        <v>0</v>
      </c>
      <c r="AF30" s="112">
        <f t="shared" si="23"/>
        <v>0</v>
      </c>
      <c r="AG30" s="112">
        <f t="shared" si="23"/>
        <v>0</v>
      </c>
      <c r="AH30" s="112">
        <f t="shared" si="23"/>
        <v>0</v>
      </c>
      <c r="AI30" s="112">
        <f t="shared" si="23"/>
        <v>0</v>
      </c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</row>
    <row r="31" spans="1:48" s="106" customFormat="1" ht="12.75" hidden="1">
      <c r="A31" s="110" t="s">
        <v>166</v>
      </c>
      <c r="B31" s="98">
        <f>P31+AC31+AD31+AE31+AF31+AG31+AH31</f>
        <v>0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>
        <f>(N7+N16-Пост!$C$6-Пост!$C$16-Пост!$C$19)*ндс</f>
        <v>0</v>
      </c>
      <c r="O31" s="112"/>
      <c r="P31" s="113">
        <f>SUM(D31:O31)</f>
        <v>0</v>
      </c>
      <c r="Q31" s="112">
        <f>(Q7+Q16-Пост!$D$6-Пост!$D$16-Пост!$D$19)*ндс</f>
        <v>0</v>
      </c>
      <c r="R31" s="112">
        <f>(R7+R16-Пост!$D$6-Пост!$D$16-Пост!$D$19)*ндс</f>
        <v>0</v>
      </c>
      <c r="S31" s="112">
        <f>(S7+S16-Пост!$D$6-Пост!$D$16-Пост!$D$19)*ндс</f>
        <v>0</v>
      </c>
      <c r="T31" s="112">
        <f>(T7+T16-Пост!$D$6-Пост!$D$16-Пост!$D$19)*ндс</f>
        <v>0</v>
      </c>
      <c r="U31" s="112">
        <f>(U7+U16-Пост!$D$6-Пост!$D$16-Пост!$D$19)*ндс</f>
        <v>0</v>
      </c>
      <c r="V31" s="112">
        <f>(V7+V16-Пост!$D$6-Пост!$D$16-Пост!$D$19)*ндс</f>
        <v>0</v>
      </c>
      <c r="W31" s="112">
        <f>(W7+W16-Пост!$D$6-Пост!$D$16-Пост!$D$19)*ндс</f>
        <v>0</v>
      </c>
      <c r="X31" s="112">
        <f>(X7+X16-Пост!$D$6-Пост!$D$16-Пост!$D$19)*ндс</f>
        <v>0</v>
      </c>
      <c r="Y31" s="112">
        <f>(Y7+Y16-Пост!$D$6-Пост!$D$16-Пост!$D$19)*ндс</f>
        <v>0</v>
      </c>
      <c r="Z31" s="112"/>
      <c r="AA31" s="112"/>
      <c r="AB31" s="112"/>
      <c r="AC31" s="113">
        <f>SUM(Q31:AB31)</f>
        <v>0</v>
      </c>
      <c r="AD31" s="112"/>
      <c r="AE31" s="112"/>
      <c r="AF31" s="112"/>
      <c r="AG31" s="112"/>
      <c r="AH31" s="112"/>
      <c r="AI31" s="112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</row>
    <row r="32" spans="1:48" s="106" customFormat="1" ht="12.75" hidden="1">
      <c r="A32" s="110" t="s">
        <v>167</v>
      </c>
      <c r="B32" s="98">
        <f>P32+AC32+AD32+AE32+AF32+AG32+AH32</f>
        <v>0</v>
      </c>
      <c r="C32" s="112"/>
      <c r="D32" s="112">
        <f>Инв!E34/Исх!$C$20*ндс</f>
        <v>0</v>
      </c>
      <c r="E32" s="112">
        <f>Инв!F34/Исх!$C$20*ндс</f>
        <v>0</v>
      </c>
      <c r="F32" s="112">
        <f>Инв!G34/Исх!$C$20*ндс</f>
        <v>0</v>
      </c>
      <c r="G32" s="112">
        <f>Инв!H34/Исх!$C$20*ндс</f>
        <v>0</v>
      </c>
      <c r="H32" s="112">
        <f>Инв!I34/Исх!$C$20*ндс</f>
        <v>0</v>
      </c>
      <c r="I32" s="112">
        <f>Инв!J34/Исх!$C$20*ндс</f>
        <v>0</v>
      </c>
      <c r="J32" s="112">
        <f>Инв!K34/Исх!$C$20*ндс</f>
        <v>0</v>
      </c>
      <c r="K32" s="112">
        <f>Инв!L34/Исх!$C$20*ндс</f>
        <v>0</v>
      </c>
      <c r="L32" s="112">
        <f>Инв!M34/Исх!$C$20*ндс</f>
        <v>0</v>
      </c>
      <c r="M32" s="112">
        <f>Инв!N34/Исх!$C$20*ндс</f>
        <v>0</v>
      </c>
      <c r="N32" s="112">
        <f>Инв!O34/Исх!$C$20*ндс</f>
        <v>0</v>
      </c>
      <c r="O32" s="112">
        <f>Инв!P34/Исх!$C$20*ндс</f>
        <v>0</v>
      </c>
      <c r="P32" s="113">
        <f>SUM(D32:O32)</f>
        <v>0</v>
      </c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3"/>
      <c r="AD32" s="113"/>
      <c r="AE32" s="113"/>
      <c r="AF32" s="113"/>
      <c r="AG32" s="113"/>
      <c r="AH32" s="113"/>
      <c r="AI32" s="113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</row>
    <row r="33" spans="1:48" s="106" customFormat="1" ht="12.75" hidden="1">
      <c r="A33" s="110" t="s">
        <v>28</v>
      </c>
      <c r="B33" s="98">
        <f>P33+AC33+AD33+AE33+AF33+AG33+AH33</f>
        <v>0</v>
      </c>
      <c r="C33" s="112"/>
      <c r="D33" s="112">
        <f>D30-D31-D32</f>
        <v>0</v>
      </c>
      <c r="E33" s="112">
        <f aca="true" t="shared" si="24" ref="E33:O33">E30-E31-E32</f>
        <v>0</v>
      </c>
      <c r="F33" s="112">
        <f t="shared" si="24"/>
        <v>0</v>
      </c>
      <c r="G33" s="112">
        <f t="shared" si="24"/>
        <v>0</v>
      </c>
      <c r="H33" s="112">
        <f t="shared" si="24"/>
        <v>0</v>
      </c>
      <c r="I33" s="112">
        <f t="shared" si="24"/>
        <v>0</v>
      </c>
      <c r="J33" s="112">
        <f t="shared" si="24"/>
        <v>0</v>
      </c>
      <c r="K33" s="112">
        <f t="shared" si="24"/>
        <v>0</v>
      </c>
      <c r="L33" s="112">
        <f t="shared" si="24"/>
        <v>0</v>
      </c>
      <c r="M33" s="112">
        <f t="shared" si="24"/>
        <v>0</v>
      </c>
      <c r="N33" s="112">
        <f t="shared" si="24"/>
        <v>0</v>
      </c>
      <c r="O33" s="112">
        <f t="shared" si="24"/>
        <v>0</v>
      </c>
      <c r="P33" s="113">
        <f>SUM(D33:O33)</f>
        <v>0</v>
      </c>
      <c r="Q33" s="112">
        <f aca="true" t="shared" si="25" ref="Q33:AB33">Q30-Q31-Q32</f>
        <v>0</v>
      </c>
      <c r="R33" s="112">
        <f t="shared" si="25"/>
        <v>0</v>
      </c>
      <c r="S33" s="112">
        <f t="shared" si="25"/>
        <v>0</v>
      </c>
      <c r="T33" s="112">
        <f t="shared" si="25"/>
        <v>0</v>
      </c>
      <c r="U33" s="112">
        <f t="shared" si="25"/>
        <v>0</v>
      </c>
      <c r="V33" s="112">
        <f t="shared" si="25"/>
        <v>0</v>
      </c>
      <c r="W33" s="112">
        <f t="shared" si="25"/>
        <v>0</v>
      </c>
      <c r="X33" s="112">
        <f t="shared" si="25"/>
        <v>0</v>
      </c>
      <c r="Y33" s="112">
        <f t="shared" si="25"/>
        <v>0</v>
      </c>
      <c r="Z33" s="112">
        <f t="shared" si="25"/>
        <v>0</v>
      </c>
      <c r="AA33" s="112">
        <f t="shared" si="25"/>
        <v>0</v>
      </c>
      <c r="AB33" s="112">
        <f t="shared" si="25"/>
        <v>0</v>
      </c>
      <c r="AC33" s="113">
        <f>SUM(Q33:AB33)</f>
        <v>0</v>
      </c>
      <c r="AD33" s="112">
        <f aca="true" t="shared" si="26" ref="AD33:AI33">AD30-AD31-AD32</f>
        <v>0</v>
      </c>
      <c r="AE33" s="112">
        <f t="shared" si="26"/>
        <v>0</v>
      </c>
      <c r="AF33" s="112">
        <f t="shared" si="26"/>
        <v>0</v>
      </c>
      <c r="AG33" s="112">
        <f t="shared" si="26"/>
        <v>0</v>
      </c>
      <c r="AH33" s="112">
        <f t="shared" si="26"/>
        <v>0</v>
      </c>
      <c r="AI33" s="112">
        <f t="shared" si="26"/>
        <v>0</v>
      </c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</row>
    <row r="34" spans="1:48" s="106" customFormat="1" ht="12.75" hidden="1">
      <c r="A34" s="110" t="s">
        <v>168</v>
      </c>
      <c r="B34" s="98">
        <f>AH34</f>
        <v>0</v>
      </c>
      <c r="C34" s="112"/>
      <c r="D34" s="112">
        <f>D33</f>
        <v>0</v>
      </c>
      <c r="E34" s="112">
        <f>D34+E33</f>
        <v>0</v>
      </c>
      <c r="F34" s="112">
        <f aca="true" t="shared" si="27" ref="F34:O34">E34+F33</f>
        <v>0</v>
      </c>
      <c r="G34" s="112">
        <f t="shared" si="27"/>
        <v>0</v>
      </c>
      <c r="H34" s="112">
        <f t="shared" si="27"/>
        <v>0</v>
      </c>
      <c r="I34" s="112">
        <f t="shared" si="27"/>
        <v>0</v>
      </c>
      <c r="J34" s="112">
        <f t="shared" si="27"/>
        <v>0</v>
      </c>
      <c r="K34" s="112">
        <f t="shared" si="27"/>
        <v>0</v>
      </c>
      <c r="L34" s="112">
        <f t="shared" si="27"/>
        <v>0</v>
      </c>
      <c r="M34" s="112">
        <f t="shared" si="27"/>
        <v>0</v>
      </c>
      <c r="N34" s="112">
        <f t="shared" si="27"/>
        <v>0</v>
      </c>
      <c r="O34" s="112">
        <f t="shared" si="27"/>
        <v>0</v>
      </c>
      <c r="P34" s="113">
        <f>O34</f>
        <v>0</v>
      </c>
      <c r="Q34" s="112">
        <f aca="true" t="shared" si="28" ref="Q34:AB34">P34+Q33</f>
        <v>0</v>
      </c>
      <c r="R34" s="112">
        <f t="shared" si="28"/>
        <v>0</v>
      </c>
      <c r="S34" s="112">
        <f t="shared" si="28"/>
        <v>0</v>
      </c>
      <c r="T34" s="112">
        <f t="shared" si="28"/>
        <v>0</v>
      </c>
      <c r="U34" s="112">
        <f t="shared" si="28"/>
        <v>0</v>
      </c>
      <c r="V34" s="112">
        <f t="shared" si="28"/>
        <v>0</v>
      </c>
      <c r="W34" s="112">
        <f t="shared" si="28"/>
        <v>0</v>
      </c>
      <c r="X34" s="112">
        <f t="shared" si="28"/>
        <v>0</v>
      </c>
      <c r="Y34" s="112">
        <f t="shared" si="28"/>
        <v>0</v>
      </c>
      <c r="Z34" s="112">
        <f t="shared" si="28"/>
        <v>0</v>
      </c>
      <c r="AA34" s="112">
        <f t="shared" si="28"/>
        <v>0</v>
      </c>
      <c r="AB34" s="112">
        <f t="shared" si="28"/>
        <v>0</v>
      </c>
      <c r="AC34" s="113">
        <f>AB34</f>
        <v>0</v>
      </c>
      <c r="AD34" s="112">
        <f aca="true" t="shared" si="29" ref="AD34:AI34">AC34+AD33</f>
        <v>0</v>
      </c>
      <c r="AE34" s="112">
        <f t="shared" si="29"/>
        <v>0</v>
      </c>
      <c r="AF34" s="112">
        <f t="shared" si="29"/>
        <v>0</v>
      </c>
      <c r="AG34" s="112">
        <f t="shared" si="29"/>
        <v>0</v>
      </c>
      <c r="AH34" s="112">
        <f t="shared" si="29"/>
        <v>0</v>
      </c>
      <c r="AI34" s="112">
        <f t="shared" si="29"/>
        <v>0</v>
      </c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</row>
    <row r="35" spans="1:48" s="106" customFormat="1" ht="12.75" hidden="1">
      <c r="A35" s="110" t="s">
        <v>169</v>
      </c>
      <c r="B35" s="98">
        <f>P35+AC35+AD35+AE35+AF35+AG35+AH35</f>
        <v>0</v>
      </c>
      <c r="C35" s="112"/>
      <c r="D35" s="112">
        <f>IF(C34+D33&gt;=0,IF(C34&lt;0,C34+D33,D33),0)</f>
        <v>0</v>
      </c>
      <c r="E35" s="112">
        <f aca="true" t="shared" si="30" ref="E35:AI35">IF(D34+E33&gt;=0,IF(D34&lt;0,D34+E33,E33),0)</f>
        <v>0</v>
      </c>
      <c r="F35" s="112">
        <f t="shared" si="30"/>
        <v>0</v>
      </c>
      <c r="G35" s="112">
        <f t="shared" si="30"/>
        <v>0</v>
      </c>
      <c r="H35" s="112">
        <f t="shared" si="30"/>
        <v>0</v>
      </c>
      <c r="I35" s="112">
        <f t="shared" si="30"/>
        <v>0</v>
      </c>
      <c r="J35" s="112">
        <f t="shared" si="30"/>
        <v>0</v>
      </c>
      <c r="K35" s="112">
        <f t="shared" si="30"/>
        <v>0</v>
      </c>
      <c r="L35" s="112">
        <f t="shared" si="30"/>
        <v>0</v>
      </c>
      <c r="M35" s="112">
        <f t="shared" si="30"/>
        <v>0</v>
      </c>
      <c r="N35" s="112">
        <f t="shared" si="30"/>
        <v>0</v>
      </c>
      <c r="O35" s="112">
        <f t="shared" si="30"/>
        <v>0</v>
      </c>
      <c r="P35" s="113">
        <f>SUM(D35:O35)</f>
        <v>0</v>
      </c>
      <c r="Q35" s="112">
        <f t="shared" si="30"/>
        <v>0</v>
      </c>
      <c r="R35" s="112">
        <f t="shared" si="30"/>
        <v>0</v>
      </c>
      <c r="S35" s="112">
        <f t="shared" si="30"/>
        <v>0</v>
      </c>
      <c r="T35" s="112">
        <f t="shared" si="30"/>
        <v>0</v>
      </c>
      <c r="U35" s="112">
        <f t="shared" si="30"/>
        <v>0</v>
      </c>
      <c r="V35" s="112">
        <f t="shared" si="30"/>
        <v>0</v>
      </c>
      <c r="W35" s="112">
        <f t="shared" si="30"/>
        <v>0</v>
      </c>
      <c r="X35" s="112">
        <f t="shared" si="30"/>
        <v>0</v>
      </c>
      <c r="Y35" s="112">
        <f t="shared" si="30"/>
        <v>0</v>
      </c>
      <c r="Z35" s="112">
        <f t="shared" si="30"/>
        <v>0</v>
      </c>
      <c r="AA35" s="112">
        <f t="shared" si="30"/>
        <v>0</v>
      </c>
      <c r="AB35" s="112">
        <f t="shared" si="30"/>
        <v>0</v>
      </c>
      <c r="AC35" s="113">
        <f>SUM(Q35:AB35)</f>
        <v>0</v>
      </c>
      <c r="AD35" s="112">
        <f t="shared" si="30"/>
        <v>0</v>
      </c>
      <c r="AE35" s="112">
        <f t="shared" si="30"/>
        <v>0</v>
      </c>
      <c r="AF35" s="112">
        <f t="shared" si="30"/>
        <v>0</v>
      </c>
      <c r="AG35" s="112">
        <f t="shared" si="30"/>
        <v>0</v>
      </c>
      <c r="AH35" s="112">
        <f t="shared" si="30"/>
        <v>0</v>
      </c>
      <c r="AI35" s="112">
        <f t="shared" si="30"/>
        <v>0</v>
      </c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</row>
    <row r="36" ht="12.75" hidden="1"/>
    <row r="37" ht="12.75">
      <c r="B37" s="114"/>
    </row>
  </sheetData>
  <sheetProtection/>
  <mergeCells count="8">
    <mergeCell ref="Q27:AC27"/>
    <mergeCell ref="Q3:AC3"/>
    <mergeCell ref="A3:A4"/>
    <mergeCell ref="A27:A28"/>
    <mergeCell ref="B3:B4"/>
    <mergeCell ref="D27:P27"/>
    <mergeCell ref="B27:B28"/>
    <mergeCell ref="D3:P3"/>
  </mergeCells>
  <printOptions/>
  <pageMargins left="0.35433070866141736" right="0.2362204724409449" top="0.7480314960629921" bottom="0.2362204724409449" header="0.4724409448818898" footer="0.15748031496062992"/>
  <pageSetup horizontalDpi="600" verticalDpi="600" orientation="landscape" paperSize="9" r:id="rId1"/>
  <headerFooter alignWithMargins="0">
    <oddHeader>&amp;RПриложение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GB41"/>
  <sheetViews>
    <sheetView showGridLines="0" showZeros="0" zoomScalePageLayoutView="0" workbookViewId="0" topLeftCell="A1">
      <pane xSplit="3" ySplit="4" topLeftCell="D5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AE10" sqref="AE10"/>
    </sheetView>
  </sheetViews>
  <sheetFormatPr defaultColWidth="10.125" defaultRowHeight="12.75" outlineLevelCol="1"/>
  <cols>
    <col min="1" max="1" width="38.125" style="116" customWidth="1"/>
    <col min="2" max="2" width="2.375" style="116" customWidth="1"/>
    <col min="3" max="3" width="7.125" style="116" customWidth="1"/>
    <col min="4" max="4" width="11.375" style="116" hidden="1" customWidth="1" outlineLevel="1"/>
    <col min="5" max="11" width="7.375" style="116" hidden="1" customWidth="1" outlineLevel="1"/>
    <col min="12" max="12" width="8.00390625" style="116" hidden="1" customWidth="1" outlineLevel="1"/>
    <col min="13" max="13" width="7.875" style="116" hidden="1" customWidth="1" outlineLevel="1"/>
    <col min="14" max="15" width="8.125" style="116" hidden="1" customWidth="1" outlineLevel="1"/>
    <col min="16" max="16" width="9.875" style="116" customWidth="1" collapsed="1"/>
    <col min="17" max="23" width="8.375" style="116" hidden="1" customWidth="1" outlineLevel="1"/>
    <col min="24" max="25" width="8.75390625" style="116" hidden="1" customWidth="1" outlineLevel="1"/>
    <col min="26" max="26" width="8.625" style="116" hidden="1" customWidth="1" outlineLevel="1"/>
    <col min="27" max="27" width="9.00390625" style="116" hidden="1" customWidth="1" outlineLevel="1"/>
    <col min="28" max="28" width="9.125" style="116" hidden="1" customWidth="1" outlineLevel="1"/>
    <col min="29" max="29" width="10.125" style="116" customWidth="1" collapsed="1"/>
    <col min="30" max="30" width="9.875" style="116" customWidth="1"/>
    <col min="31" max="31" width="9.75390625" style="116" customWidth="1"/>
    <col min="32" max="32" width="9.625" style="116" customWidth="1"/>
    <col min="33" max="35" width="9.75390625" style="116" customWidth="1"/>
    <col min="36" max="16384" width="10.125" style="116" customWidth="1"/>
  </cols>
  <sheetData>
    <row r="1" spans="1:3" ht="12.75">
      <c r="A1" s="61" t="s">
        <v>116</v>
      </c>
      <c r="B1" s="115"/>
      <c r="C1" s="115"/>
    </row>
    <row r="2" spans="1:35" ht="17.25" customHeight="1">
      <c r="A2" s="61"/>
      <c r="C2" s="12" t="str">
        <f>Исх!$C$9</f>
        <v>тыс.тг.</v>
      </c>
      <c r="P2" s="117"/>
      <c r="AC2" s="117"/>
      <c r="AD2" s="117"/>
      <c r="AE2" s="117"/>
      <c r="AF2" s="117"/>
      <c r="AG2" s="117"/>
      <c r="AH2" s="117"/>
      <c r="AI2" s="117"/>
    </row>
    <row r="3" spans="1:35" ht="12.75" customHeight="1">
      <c r="A3" s="319" t="s">
        <v>2</v>
      </c>
      <c r="B3" s="321"/>
      <c r="C3" s="119"/>
      <c r="D3" s="322">
        <v>2014</v>
      </c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>
        <v>2015</v>
      </c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120">
        <f>Q3+1</f>
        <v>2016</v>
      </c>
      <c r="AE3" s="120">
        <f>AD3+1</f>
        <v>2017</v>
      </c>
      <c r="AF3" s="120">
        <f>AE3+1</f>
        <v>2018</v>
      </c>
      <c r="AG3" s="120">
        <f>AF3+1</f>
        <v>2019</v>
      </c>
      <c r="AH3" s="120">
        <f>AG3+1</f>
        <v>2020</v>
      </c>
      <c r="AI3" s="120">
        <f>AH3+1</f>
        <v>2021</v>
      </c>
    </row>
    <row r="4" spans="1:35" ht="12.75">
      <c r="A4" s="320"/>
      <c r="B4" s="321"/>
      <c r="C4" s="121"/>
      <c r="D4" s="122">
        <v>1</v>
      </c>
      <c r="E4" s="122">
        <f>D4+1</f>
        <v>2</v>
      </c>
      <c r="F4" s="122">
        <f aca="true" t="shared" si="0" ref="F4:O4">E4+1</f>
        <v>3</v>
      </c>
      <c r="G4" s="122">
        <f t="shared" si="0"/>
        <v>4</v>
      </c>
      <c r="H4" s="122">
        <f t="shared" si="0"/>
        <v>5</v>
      </c>
      <c r="I4" s="122">
        <f t="shared" si="0"/>
        <v>6</v>
      </c>
      <c r="J4" s="122">
        <f t="shared" si="0"/>
        <v>7</v>
      </c>
      <c r="K4" s="122">
        <f t="shared" si="0"/>
        <v>8</v>
      </c>
      <c r="L4" s="122">
        <f t="shared" si="0"/>
        <v>9</v>
      </c>
      <c r="M4" s="122">
        <f t="shared" si="0"/>
        <v>10</v>
      </c>
      <c r="N4" s="122">
        <f t="shared" si="0"/>
        <v>11</v>
      </c>
      <c r="O4" s="122">
        <f t="shared" si="0"/>
        <v>12</v>
      </c>
      <c r="P4" s="118" t="s">
        <v>0</v>
      </c>
      <c r="Q4" s="122">
        <v>1</v>
      </c>
      <c r="R4" s="122">
        <f aca="true" t="shared" si="1" ref="R4:AB4">Q4+1</f>
        <v>2</v>
      </c>
      <c r="S4" s="122">
        <f t="shared" si="1"/>
        <v>3</v>
      </c>
      <c r="T4" s="122">
        <f t="shared" si="1"/>
        <v>4</v>
      </c>
      <c r="U4" s="122">
        <f t="shared" si="1"/>
        <v>5</v>
      </c>
      <c r="V4" s="122">
        <f t="shared" si="1"/>
        <v>6</v>
      </c>
      <c r="W4" s="122">
        <f t="shared" si="1"/>
        <v>7</v>
      </c>
      <c r="X4" s="122">
        <f t="shared" si="1"/>
        <v>8</v>
      </c>
      <c r="Y4" s="122">
        <f t="shared" si="1"/>
        <v>9</v>
      </c>
      <c r="Z4" s="122">
        <f t="shared" si="1"/>
        <v>10</v>
      </c>
      <c r="AA4" s="122">
        <f t="shared" si="1"/>
        <v>11</v>
      </c>
      <c r="AB4" s="122">
        <f t="shared" si="1"/>
        <v>12</v>
      </c>
      <c r="AC4" s="118" t="s">
        <v>0</v>
      </c>
      <c r="AD4" s="118"/>
      <c r="AE4" s="118"/>
      <c r="AF4" s="118"/>
      <c r="AG4" s="118"/>
      <c r="AH4" s="118"/>
      <c r="AI4" s="118"/>
    </row>
    <row r="5" spans="1:42" s="127" customFormat="1" ht="15" customHeight="1">
      <c r="A5" s="123" t="s">
        <v>117</v>
      </c>
      <c r="B5" s="124"/>
      <c r="C5" s="125">
        <f>C11+C6</f>
        <v>0</v>
      </c>
      <c r="D5" s="125">
        <f>D11+D6</f>
        <v>42039.7936392</v>
      </c>
      <c r="E5" s="125">
        <f aca="true" t="shared" si="2" ref="E5:AH5">E11+E6</f>
        <v>63294.605705279995</v>
      </c>
      <c r="F5" s="125">
        <f t="shared" si="2"/>
        <v>67034.58690403</v>
      </c>
      <c r="G5" s="125">
        <f t="shared" si="2"/>
        <v>70774.56810278</v>
      </c>
      <c r="H5" s="125">
        <f t="shared" si="2"/>
        <v>74768.35362153</v>
      </c>
      <c r="I5" s="125">
        <f t="shared" si="2"/>
        <v>78762.13914028</v>
      </c>
      <c r="J5" s="125">
        <f t="shared" si="2"/>
        <v>82755.92465903002</v>
      </c>
      <c r="K5" s="125">
        <f t="shared" si="2"/>
        <v>86348.69417778001</v>
      </c>
      <c r="L5" s="125">
        <f t="shared" si="2"/>
        <v>89941.46369653002</v>
      </c>
      <c r="M5" s="125">
        <f t="shared" si="2"/>
        <v>92067.29081528002</v>
      </c>
      <c r="N5" s="125">
        <f t="shared" si="2"/>
        <v>93615.5900702104</v>
      </c>
      <c r="O5" s="125">
        <f t="shared" si="2"/>
        <v>95163.88932514079</v>
      </c>
      <c r="P5" s="125">
        <f t="shared" si="2"/>
        <v>95163.88932514079</v>
      </c>
      <c r="Q5" s="125">
        <f t="shared" si="2"/>
        <v>95453.80437482853</v>
      </c>
      <c r="R5" s="125">
        <f t="shared" si="2"/>
        <v>95748.88884319979</v>
      </c>
      <c r="S5" s="125">
        <f t="shared" si="2"/>
        <v>96049.14273025453</v>
      </c>
      <c r="T5" s="125">
        <f t="shared" si="2"/>
        <v>96354.56603599282</v>
      </c>
      <c r="U5" s="125">
        <f t="shared" si="2"/>
        <v>96665.1587604146</v>
      </c>
      <c r="V5" s="125">
        <f t="shared" si="2"/>
        <v>96980.92090351987</v>
      </c>
      <c r="W5" s="125">
        <f t="shared" si="2"/>
        <v>97301.85246530868</v>
      </c>
      <c r="X5" s="125">
        <f t="shared" si="2"/>
        <v>95286.47709582282</v>
      </c>
      <c r="Y5" s="125">
        <f t="shared" si="2"/>
        <v>93276.27114502047</v>
      </c>
      <c r="Z5" s="125">
        <f t="shared" si="2"/>
        <v>91271.23461290164</v>
      </c>
      <c r="AA5" s="125">
        <f t="shared" si="2"/>
        <v>91612.84384942445</v>
      </c>
      <c r="AB5" s="125">
        <f t="shared" si="2"/>
        <v>91959.6225046308</v>
      </c>
      <c r="AC5" s="125">
        <f t="shared" si="2"/>
        <v>91959.6225046308</v>
      </c>
      <c r="AD5" s="125">
        <f t="shared" si="2"/>
        <v>90810.97873052256</v>
      </c>
      <c r="AE5" s="125">
        <f t="shared" si="2"/>
        <v>90406.73124683954</v>
      </c>
      <c r="AF5" s="125">
        <f t="shared" si="2"/>
        <v>90746.88005358176</v>
      </c>
      <c r="AG5" s="125">
        <f t="shared" si="2"/>
        <v>91831.42515074919</v>
      </c>
      <c r="AH5" s="125">
        <f t="shared" si="2"/>
        <v>93660.36653834184</v>
      </c>
      <c r="AI5" s="125">
        <f>AI11+AI6</f>
        <v>106526.7553036085</v>
      </c>
      <c r="AJ5" s="126"/>
      <c r="AK5" s="126"/>
      <c r="AL5" s="126"/>
      <c r="AM5" s="126"/>
      <c r="AN5" s="126"/>
      <c r="AO5" s="126"/>
      <c r="AP5" s="126"/>
    </row>
    <row r="6" spans="1:35" s="127" customFormat="1" ht="15" customHeight="1">
      <c r="A6" s="123" t="s">
        <v>118</v>
      </c>
      <c r="B6" s="124"/>
      <c r="C6" s="125">
        <f>SUM(C7:C10)</f>
        <v>0</v>
      </c>
      <c r="D6" s="125">
        <f>SUM(D7:D10)</f>
        <v>0</v>
      </c>
      <c r="E6" s="125">
        <f aca="true" t="shared" si="3" ref="E6:AH6">SUM(E7:E10)</f>
        <v>0</v>
      </c>
      <c r="F6" s="125">
        <f t="shared" si="3"/>
        <v>4365.573366</v>
      </c>
      <c r="G6" s="125">
        <f t="shared" si="3"/>
        <v>8731.146732</v>
      </c>
      <c r="H6" s="125">
        <f t="shared" si="3"/>
        <v>13350.524417999999</v>
      </c>
      <c r="I6" s="125">
        <f t="shared" si="3"/>
        <v>17969.902104</v>
      </c>
      <c r="J6" s="125">
        <f t="shared" si="3"/>
        <v>22589.27979</v>
      </c>
      <c r="K6" s="125">
        <f t="shared" si="3"/>
        <v>26807.641476</v>
      </c>
      <c r="L6" s="125">
        <f t="shared" si="3"/>
        <v>31026.003162</v>
      </c>
      <c r="M6" s="125">
        <f t="shared" si="3"/>
        <v>33777.422448</v>
      </c>
      <c r="N6" s="125">
        <f t="shared" si="3"/>
        <v>35951.31387018038</v>
      </c>
      <c r="O6" s="125">
        <f t="shared" si="3"/>
        <v>38125.20529236076</v>
      </c>
      <c r="P6" s="125">
        <f t="shared" si="3"/>
        <v>38125.20529236076</v>
      </c>
      <c r="Q6" s="125">
        <f t="shared" si="3"/>
        <v>39040.7125092985</v>
      </c>
      <c r="R6" s="125">
        <f t="shared" si="3"/>
        <v>39961.389144919754</v>
      </c>
      <c r="S6" s="125">
        <f t="shared" si="3"/>
        <v>40887.23519922451</v>
      </c>
      <c r="T6" s="125">
        <f t="shared" si="3"/>
        <v>41818.25067221278</v>
      </c>
      <c r="U6" s="125">
        <f t="shared" si="3"/>
        <v>42754.43556388456</v>
      </c>
      <c r="V6" s="125">
        <f t="shared" si="3"/>
        <v>43695.78987423984</v>
      </c>
      <c r="W6" s="125">
        <f t="shared" si="3"/>
        <v>44642.31360327863</v>
      </c>
      <c r="X6" s="125">
        <f t="shared" si="3"/>
        <v>43252.53040104277</v>
      </c>
      <c r="Y6" s="125">
        <f t="shared" si="3"/>
        <v>41867.916617490424</v>
      </c>
      <c r="Z6" s="125">
        <f t="shared" si="3"/>
        <v>40488.47225262158</v>
      </c>
      <c r="AA6" s="125">
        <f t="shared" si="3"/>
        <v>41455.6736563944</v>
      </c>
      <c r="AB6" s="125">
        <f t="shared" si="3"/>
        <v>42428.04447885074</v>
      </c>
      <c r="AC6" s="125">
        <f t="shared" si="3"/>
        <v>42428.04447885074</v>
      </c>
      <c r="AD6" s="125">
        <f t="shared" si="3"/>
        <v>48786.5067117425</v>
      </c>
      <c r="AE6" s="125">
        <f t="shared" si="3"/>
        <v>55889.365235059486</v>
      </c>
      <c r="AF6" s="125">
        <f t="shared" si="3"/>
        <v>63736.6200488017</v>
      </c>
      <c r="AG6" s="125">
        <f t="shared" si="3"/>
        <v>72328.27115296913</v>
      </c>
      <c r="AH6" s="125">
        <f t="shared" si="3"/>
        <v>81664.3185475618</v>
      </c>
      <c r="AI6" s="125">
        <f>SUM(AI7:AI10)</f>
        <v>102037.81331982845</v>
      </c>
    </row>
    <row r="7" spans="1:35" ht="15" customHeight="1">
      <c r="A7" s="128" t="s">
        <v>119</v>
      </c>
      <c r="B7" s="124"/>
      <c r="C7" s="129"/>
      <c r="D7" s="129">
        <f>'1-Ф3'!D40</f>
        <v>0</v>
      </c>
      <c r="E7" s="129">
        <f>'1-Ф3'!E40</f>
        <v>0</v>
      </c>
      <c r="F7" s="129">
        <f>'1-Ф3'!F40</f>
        <v>0</v>
      </c>
      <c r="G7" s="129">
        <f>'1-Ф3'!G40</f>
        <v>0</v>
      </c>
      <c r="H7" s="129">
        <f>'1-Ф3'!H40</f>
        <v>0</v>
      </c>
      <c r="I7" s="129">
        <f>'1-Ф3'!I40</f>
        <v>0</v>
      </c>
      <c r="J7" s="129">
        <f>'1-Ф3'!J40</f>
        <v>0</v>
      </c>
      <c r="K7" s="129">
        <f>'1-Ф3'!K40</f>
        <v>0</v>
      </c>
      <c r="L7" s="129">
        <f>'1-Ф3'!L40</f>
        <v>0</v>
      </c>
      <c r="M7" s="129">
        <f>'1-Ф3'!M40</f>
        <v>0</v>
      </c>
      <c r="N7" s="129">
        <f>'1-Ф3'!N40</f>
        <v>4132.199176222222</v>
      </c>
      <c r="O7" s="129">
        <f>'1-Ф3'!O40</f>
        <v>9467.963792444445</v>
      </c>
      <c r="P7" s="129">
        <f>'1-Ф3'!P40</f>
        <v>9467.963792444445</v>
      </c>
      <c r="Q7" s="129">
        <f>'1-Ф3'!Q40</f>
        <v>14174.111419424027</v>
      </c>
      <c r="R7" s="129">
        <f>'1-Ф3'!R40</f>
        <v>18885.42846508712</v>
      </c>
      <c r="S7" s="129">
        <f>'1-Ф3'!S40</f>
        <v>19236.341563433718</v>
      </c>
      <c r="T7" s="129">
        <f>'1-Ф3'!T40</f>
        <v>19592.424080463825</v>
      </c>
      <c r="U7" s="129">
        <f>'1-Ф3'!U40</f>
        <v>19699.87169617744</v>
      </c>
      <c r="V7" s="129">
        <f>'1-Ф3'!V40</f>
        <v>19812.488730574565</v>
      </c>
      <c r="W7" s="129">
        <f>'1-Ф3'!W40</f>
        <v>19930.275183655198</v>
      </c>
      <c r="X7" s="129">
        <f>'1-Ф3'!X40</f>
        <v>14322.13029541934</v>
      </c>
      <c r="Y7" s="129">
        <f>'1-Ф3'!Y40</f>
        <v>8719.15482586699</v>
      </c>
      <c r="Z7" s="129">
        <f>'1-Ф3'!Z40</f>
        <v>4588.2911749981495</v>
      </c>
      <c r="AA7" s="129">
        <f>'1-Ф3'!AA40</f>
        <v>7513.800332812818</v>
      </c>
      <c r="AB7" s="129">
        <f>'1-Ф3'!AB40</f>
        <v>11648.044349310994</v>
      </c>
      <c r="AC7" s="129">
        <f>'1-Ф3'!AC40</f>
        <v>11648.044349310994</v>
      </c>
      <c r="AD7" s="129">
        <f>'1-Ф3'!AD40</f>
        <v>18006.50658220276</v>
      </c>
      <c r="AE7" s="129">
        <f>'1-Ф3'!AE40</f>
        <v>25109.365105519748</v>
      </c>
      <c r="AF7" s="129">
        <f>'1-Ф3'!AF40</f>
        <v>32956.61991926196</v>
      </c>
      <c r="AG7" s="129">
        <f>'1-Ф3'!AG40</f>
        <v>41548.2710234294</v>
      </c>
      <c r="AH7" s="129">
        <f>'1-Ф3'!AH40</f>
        <v>50884.318418022056</v>
      </c>
      <c r="AI7" s="129">
        <f>'1-Ф3'!AI40</f>
        <v>71257.81319028871</v>
      </c>
    </row>
    <row r="8" spans="1:35" ht="15" customHeight="1">
      <c r="A8" s="128" t="s">
        <v>120</v>
      </c>
      <c r="B8" s="124"/>
      <c r="C8" s="129"/>
      <c r="D8" s="129">
        <f>C8+'2-ф2'!D5-'1-Ф3'!D9/Исх!$C$20</f>
        <v>0</v>
      </c>
      <c r="E8" s="129">
        <f>D8+'2-ф2'!E5-'1-Ф3'!E9/Исх!$C$20</f>
        <v>0</v>
      </c>
      <c r="F8" s="129">
        <f>E8+'2-ф2'!F5-'1-Ф3'!F9/Исх!$C$20</f>
        <v>0</v>
      </c>
      <c r="G8" s="129">
        <f>F8+'2-ф2'!G5-'1-Ф3'!G9/Исх!$C$20</f>
        <v>0</v>
      </c>
      <c r="H8" s="129">
        <f>G8+'2-ф2'!H5-'1-Ф3'!H9/Исх!$C$20</f>
        <v>0</v>
      </c>
      <c r="I8" s="129">
        <f>H8+'2-ф2'!I5-'1-Ф3'!I9/Исх!$C$20</f>
        <v>0</v>
      </c>
      <c r="J8" s="129">
        <f>I8+'2-ф2'!J5-'1-Ф3'!J9/Исх!$C$20</f>
        <v>0</v>
      </c>
      <c r="K8" s="129">
        <f>J8+'2-ф2'!K5-'1-Ф3'!K9/Исх!$C$20</f>
        <v>0</v>
      </c>
      <c r="L8" s="129">
        <f>K8+'2-ф2'!L5-'1-Ф3'!L9/Исх!$C$20</f>
        <v>0</v>
      </c>
      <c r="M8" s="129">
        <f>L8+'2-ф2'!M5-'1-Ф3'!M9/Исх!$C$20</f>
        <v>0</v>
      </c>
      <c r="N8" s="129">
        <f>M8+'2-ф2'!N5-'1-Ф3'!N9/Исх!$C$20</f>
        <v>0</v>
      </c>
      <c r="O8" s="129">
        <f>N8+'2-ф2'!O5-'1-Ф3'!O9/Исх!$C$20</f>
        <v>0</v>
      </c>
      <c r="P8" s="129">
        <f>O8</f>
        <v>0</v>
      </c>
      <c r="Q8" s="129">
        <f>P8+'2-ф2'!Q5-'1-Ф3'!Q9/Исх!$C$20</f>
        <v>0</v>
      </c>
      <c r="R8" s="129">
        <f>Q8+'2-ф2'!R5-'1-Ф3'!R9/Исх!$C$20</f>
        <v>0</v>
      </c>
      <c r="S8" s="129">
        <f>R8+'2-ф2'!S5-'1-Ф3'!S9/Исх!$C$20</f>
        <v>0</v>
      </c>
      <c r="T8" s="129">
        <f>S8+'2-ф2'!T5-'1-Ф3'!T9/Исх!$C$20</f>
        <v>0</v>
      </c>
      <c r="U8" s="129">
        <f>T8+'2-ф2'!U5-'1-Ф3'!U9/Исх!$C$20</f>
        <v>0</v>
      </c>
      <c r="V8" s="129">
        <f>U8+'2-ф2'!V5-'1-Ф3'!V9/Исх!$C$20</f>
        <v>0</v>
      </c>
      <c r="W8" s="129">
        <f>V8+'2-ф2'!W5-'1-Ф3'!W9/Исх!$C$20</f>
        <v>0</v>
      </c>
      <c r="X8" s="129">
        <f>W8+'2-ф2'!X5-'1-Ф3'!X9/Исх!$C$20</f>
        <v>0</v>
      </c>
      <c r="Y8" s="129">
        <f>X8+'2-ф2'!Y5-'1-Ф3'!Y9/Исх!$C$20</f>
        <v>0</v>
      </c>
      <c r="Z8" s="129">
        <f>Y8+'2-ф2'!Z5-'1-Ф3'!Z9/Исх!$C$20</f>
        <v>0</v>
      </c>
      <c r="AA8" s="129">
        <f>Z8+'2-ф2'!AA5-'1-Ф3'!AA9/Исх!$C$20</f>
        <v>0</v>
      </c>
      <c r="AB8" s="129">
        <f>AA8+'2-ф2'!AB5-'1-Ф3'!AB9/Исх!$C$20</f>
        <v>0</v>
      </c>
      <c r="AC8" s="129">
        <f>AB8</f>
        <v>0</v>
      </c>
      <c r="AD8" s="129">
        <f>AC8+'2-ф2'!AD5-'1-Ф3'!AD9/Исх!$C$20</f>
        <v>0</v>
      </c>
      <c r="AE8" s="129">
        <f>AD8+'2-ф2'!AE5-'1-Ф3'!AE9/Исх!$C$20</f>
        <v>0</v>
      </c>
      <c r="AF8" s="129">
        <f>AE8+'2-ф2'!AF5-'1-Ф3'!AF9/Исх!$C$20</f>
        <v>0</v>
      </c>
      <c r="AG8" s="129">
        <f>AF8+'2-ф2'!AG5-'1-Ф3'!AG9/Исх!$C$20</f>
        <v>0</v>
      </c>
      <c r="AH8" s="129">
        <f>AG8+'2-ф2'!AH5-'1-Ф3'!AH9/Исх!$C$20</f>
        <v>0</v>
      </c>
      <c r="AI8" s="129">
        <f>AH8+'2-ф2'!AI5-'1-Ф3'!AI9/Исх!$C$20</f>
        <v>0</v>
      </c>
    </row>
    <row r="9" spans="1:35" ht="15" customHeight="1">
      <c r="A9" s="128" t="s">
        <v>121</v>
      </c>
      <c r="B9" s="124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>
        <f>O9</f>
        <v>0</v>
      </c>
      <c r="Q9" s="129">
        <f>O9</f>
        <v>0</v>
      </c>
      <c r="R9" s="129">
        <f aca="true" t="shared" si="4" ref="R9:AB9">P9</f>
        <v>0</v>
      </c>
      <c r="S9" s="129">
        <f t="shared" si="4"/>
        <v>0</v>
      </c>
      <c r="T9" s="129">
        <f t="shared" si="4"/>
        <v>0</v>
      </c>
      <c r="U9" s="129">
        <f t="shared" si="4"/>
        <v>0</v>
      </c>
      <c r="V9" s="129">
        <f t="shared" si="4"/>
        <v>0</v>
      </c>
      <c r="W9" s="129">
        <f t="shared" si="4"/>
        <v>0</v>
      </c>
      <c r="X9" s="129">
        <f t="shared" si="4"/>
        <v>0</v>
      </c>
      <c r="Y9" s="129">
        <f t="shared" si="4"/>
        <v>0</v>
      </c>
      <c r="Z9" s="129">
        <f t="shared" si="4"/>
        <v>0</v>
      </c>
      <c r="AA9" s="129">
        <f t="shared" si="4"/>
        <v>0</v>
      </c>
      <c r="AB9" s="129">
        <f t="shared" si="4"/>
        <v>0</v>
      </c>
      <c r="AC9" s="129">
        <f>AB9</f>
        <v>0</v>
      </c>
      <c r="AD9" s="129">
        <f aca="true" t="shared" si="5" ref="AD9:AI9">AB9</f>
        <v>0</v>
      </c>
      <c r="AE9" s="129">
        <f t="shared" si="5"/>
        <v>0</v>
      </c>
      <c r="AF9" s="129">
        <f t="shared" si="5"/>
        <v>0</v>
      </c>
      <c r="AG9" s="129">
        <f t="shared" si="5"/>
        <v>0</v>
      </c>
      <c r="AH9" s="129">
        <f t="shared" si="5"/>
        <v>0</v>
      </c>
      <c r="AI9" s="129">
        <f t="shared" si="5"/>
        <v>0</v>
      </c>
    </row>
    <row r="10" spans="1:35" ht="25.5">
      <c r="A10" s="128" t="s">
        <v>274</v>
      </c>
      <c r="B10" s="124"/>
      <c r="C10" s="129"/>
      <c r="D10" s="129"/>
      <c r="E10" s="129">
        <f>D10+SUM('1-Ф3'!E12:E18)-'2-ф2'!E7</f>
        <v>0</v>
      </c>
      <c r="F10" s="129">
        <f>E10+SUM('1-Ф3'!F12:F18)-'2-ф2'!F7</f>
        <v>4365.573366</v>
      </c>
      <c r="G10" s="129">
        <f>F10+SUM('1-Ф3'!G12:G18)-'2-ф2'!G7</f>
        <v>8731.146732</v>
      </c>
      <c r="H10" s="129">
        <f>G10+SUM('1-Ф3'!H12:H18)-'2-ф2'!H7</f>
        <v>13350.524417999999</v>
      </c>
      <c r="I10" s="129">
        <f>H10+SUM('1-Ф3'!I12:I18)-'2-ф2'!I7</f>
        <v>17969.902104</v>
      </c>
      <c r="J10" s="129">
        <f>I10+SUM('1-Ф3'!J12:J18)-'2-ф2'!J7</f>
        <v>22589.27979</v>
      </c>
      <c r="K10" s="129">
        <f>J10+SUM('1-Ф3'!K12:K18)-'2-ф2'!K7</f>
        <v>26807.641476</v>
      </c>
      <c r="L10" s="129">
        <f>K10+SUM('1-Ф3'!L12:L18)-'2-ф2'!L7</f>
        <v>31026.003162</v>
      </c>
      <c r="M10" s="129">
        <f>L10+SUM('1-Ф3'!M12:M18)-'2-ф2'!M7</f>
        <v>33777.422448</v>
      </c>
      <c r="N10" s="129">
        <f>M10+SUM('1-Ф3'!N12:N18)-'2-ф2'!N7</f>
        <v>31819.114693958156</v>
      </c>
      <c r="O10" s="129">
        <f>N10+SUM('1-Ф3'!O12:O18)-'2-ф2'!O7</f>
        <v>28657.241499916316</v>
      </c>
      <c r="P10" s="129">
        <f>O10</f>
        <v>28657.241499916316</v>
      </c>
      <c r="Q10" s="129">
        <f>P10+SUM('1-Ф3'!Q12:Q18)-'2-ф2'!Q7</f>
        <v>24866.601089874475</v>
      </c>
      <c r="R10" s="129">
        <f>Q10+SUM('1-Ф3'!R12:R18)-'2-ф2'!R7</f>
        <v>21075.960679832635</v>
      </c>
      <c r="S10" s="129">
        <f>R10+SUM('1-Ф3'!S12:S18)-'2-ф2'!S7</f>
        <v>21650.893635790795</v>
      </c>
      <c r="T10" s="129">
        <f>S10+SUM('1-Ф3'!T12:T18)-'2-ф2'!T7</f>
        <v>22225.826591748955</v>
      </c>
      <c r="U10" s="129">
        <f>T10+SUM('1-Ф3'!U12:U18)-'2-ф2'!U7</f>
        <v>23054.563867707115</v>
      </c>
      <c r="V10" s="129">
        <f>U10+SUM('1-Ф3'!V12:V18)-'2-ф2'!V7</f>
        <v>23883.301143665274</v>
      </c>
      <c r="W10" s="129">
        <f>V10+SUM('1-Ф3'!W12:W18)-'2-ф2'!W7</f>
        <v>24712.038419623434</v>
      </c>
      <c r="X10" s="129">
        <f>W10+SUM('1-Ф3'!X12:X18)-'2-ф2'!X7</f>
        <v>28930.400105623434</v>
      </c>
      <c r="Y10" s="129">
        <f>X10+SUM('1-Ф3'!Y12:Y18)-'2-ф2'!Y7</f>
        <v>33148.76179162343</v>
      </c>
      <c r="Z10" s="129">
        <f>Y10+SUM('1-Ф3'!Z12:Z18)-'2-ф2'!Z7</f>
        <v>35900.18107762343</v>
      </c>
      <c r="AA10" s="129">
        <f>Z10+SUM('1-Ф3'!AA12:AA18)-'2-ф2'!AA7</f>
        <v>33941.87332358158</v>
      </c>
      <c r="AB10" s="129">
        <f>AA10+SUM('1-Ф3'!AB12:AB18)-'2-ф2'!AB7</f>
        <v>30780.00012953974</v>
      </c>
      <c r="AC10" s="129">
        <f>AB10</f>
        <v>30780.00012953974</v>
      </c>
      <c r="AD10" s="129">
        <f>AC10+SUM('1-Ф3'!AD12:AD18)-'2-ф2'!AD7</f>
        <v>30780.000129539738</v>
      </c>
      <c r="AE10" s="129">
        <f>AD10+SUM('1-Ф3'!AE12:AE18)-'2-ф2'!AE7</f>
        <v>30780.000129539738</v>
      </c>
      <c r="AF10" s="129">
        <f>AE10+SUM('1-Ф3'!AF12:AF18)-'2-ф2'!AF7</f>
        <v>30780.000129539738</v>
      </c>
      <c r="AG10" s="129">
        <f>AF10+SUM('1-Ф3'!AG12:AG18)-'2-ф2'!AG7</f>
        <v>30780.000129539738</v>
      </c>
      <c r="AH10" s="129">
        <f>AG10+SUM('1-Ф3'!AH12:AH18)-'2-ф2'!AH7</f>
        <v>30780.000129539738</v>
      </c>
      <c r="AI10" s="129">
        <f>AH10+SUM('1-Ф3'!AI12:AI18)-'2-ф2'!AI7</f>
        <v>30780.000129539738</v>
      </c>
    </row>
    <row r="11" spans="1:35" ht="15" customHeight="1">
      <c r="A11" s="123" t="s">
        <v>122</v>
      </c>
      <c r="B11" s="124"/>
      <c r="C11" s="125">
        <f aca="true" t="shared" si="6" ref="C11:AH11">SUM(C12:C14)</f>
        <v>0</v>
      </c>
      <c r="D11" s="125">
        <f t="shared" si="6"/>
        <v>42039.7936392</v>
      </c>
      <c r="E11" s="125">
        <f t="shared" si="6"/>
        <v>63294.605705279995</v>
      </c>
      <c r="F11" s="125">
        <f t="shared" si="6"/>
        <v>62669.01353803</v>
      </c>
      <c r="G11" s="125">
        <f t="shared" si="6"/>
        <v>62043.42137078</v>
      </c>
      <c r="H11" s="125">
        <f t="shared" si="6"/>
        <v>61417.829203530004</v>
      </c>
      <c r="I11" s="125">
        <f t="shared" si="6"/>
        <v>60792.23703628001</v>
      </c>
      <c r="J11" s="125">
        <f t="shared" si="6"/>
        <v>60166.64486903001</v>
      </c>
      <c r="K11" s="125">
        <f t="shared" si="6"/>
        <v>59541.05270178001</v>
      </c>
      <c r="L11" s="125">
        <f t="shared" si="6"/>
        <v>58915.460534530015</v>
      </c>
      <c r="M11" s="125">
        <f t="shared" si="6"/>
        <v>58289.86836728002</v>
      </c>
      <c r="N11" s="125">
        <f t="shared" si="6"/>
        <v>57664.27620003002</v>
      </c>
      <c r="O11" s="125">
        <f t="shared" si="6"/>
        <v>57038.684032780024</v>
      </c>
      <c r="P11" s="125">
        <f t="shared" si="6"/>
        <v>57038.684032780024</v>
      </c>
      <c r="Q11" s="125">
        <f t="shared" si="6"/>
        <v>56413.09186553003</v>
      </c>
      <c r="R11" s="125">
        <f t="shared" si="6"/>
        <v>55787.49969828003</v>
      </c>
      <c r="S11" s="125">
        <f t="shared" si="6"/>
        <v>55161.90753103003</v>
      </c>
      <c r="T11" s="125">
        <f t="shared" si="6"/>
        <v>54536.315363780035</v>
      </c>
      <c r="U11" s="125">
        <f t="shared" si="6"/>
        <v>53910.72319653004</v>
      </c>
      <c r="V11" s="125">
        <f t="shared" si="6"/>
        <v>53285.13102928004</v>
      </c>
      <c r="W11" s="125">
        <f t="shared" si="6"/>
        <v>52659.538862030044</v>
      </c>
      <c r="X11" s="125">
        <f t="shared" si="6"/>
        <v>52033.94669478005</v>
      </c>
      <c r="Y11" s="125">
        <f t="shared" si="6"/>
        <v>51408.35452753005</v>
      </c>
      <c r="Z11" s="125">
        <f t="shared" si="6"/>
        <v>50782.76236028005</v>
      </c>
      <c r="AA11" s="125">
        <f t="shared" si="6"/>
        <v>50157.170193030055</v>
      </c>
      <c r="AB11" s="125">
        <f t="shared" si="6"/>
        <v>49531.57802578006</v>
      </c>
      <c r="AC11" s="125">
        <f t="shared" si="6"/>
        <v>49531.57802578006</v>
      </c>
      <c r="AD11" s="125">
        <f t="shared" si="6"/>
        <v>42024.472018780056</v>
      </c>
      <c r="AE11" s="125">
        <f t="shared" si="6"/>
        <v>34517.366011780054</v>
      </c>
      <c r="AF11" s="125">
        <f t="shared" si="6"/>
        <v>27010.26000478005</v>
      </c>
      <c r="AG11" s="125">
        <f t="shared" si="6"/>
        <v>19503.15399778005</v>
      </c>
      <c r="AH11" s="125">
        <f t="shared" si="6"/>
        <v>11996.047990780047</v>
      </c>
      <c r="AI11" s="125">
        <f>SUM(AI12:AI14)</f>
        <v>4488.941983780046</v>
      </c>
    </row>
    <row r="12" spans="1:35" ht="12.75">
      <c r="A12" s="128" t="s">
        <v>123</v>
      </c>
      <c r="B12" s="130"/>
      <c r="C12" s="129"/>
      <c r="D12" s="129">
        <f>C12+'1-Ф3'!D26/Исх!$C$20-'2-ф2'!D17</f>
        <v>42039.7936392</v>
      </c>
      <c r="E12" s="129">
        <f>D12+'1-Ф3'!E26/Исх!$C$20-'2-ф2'!E17</f>
        <v>63294.605705279995</v>
      </c>
      <c r="F12" s="129">
        <f>E12+'1-Ф3'!F26/Исх!$C$20-'2-ф2'!F17</f>
        <v>62669.01353803</v>
      </c>
      <c r="G12" s="129">
        <f>F12+'1-Ф3'!G26/Исх!$C$20-'2-ф2'!G17</f>
        <v>62043.42137078</v>
      </c>
      <c r="H12" s="129">
        <f>G12+'1-Ф3'!H26/Исх!$C$20-'2-ф2'!H17</f>
        <v>61417.829203530004</v>
      </c>
      <c r="I12" s="129">
        <f>H12+'1-Ф3'!I26/Исх!$C$20-'2-ф2'!I17</f>
        <v>60792.23703628001</v>
      </c>
      <c r="J12" s="129">
        <f>I12+'1-Ф3'!J26/Исх!$C$20-'2-ф2'!J17</f>
        <v>60166.64486903001</v>
      </c>
      <c r="K12" s="129">
        <f>J12+'1-Ф3'!K26/Исх!$C$20-'2-ф2'!K17</f>
        <v>59541.05270178001</v>
      </c>
      <c r="L12" s="129">
        <f>K12+'1-Ф3'!L26/Исх!$C$20-'2-ф2'!L17</f>
        <v>58915.460534530015</v>
      </c>
      <c r="M12" s="129">
        <f>L12+'1-Ф3'!M26/Исх!$C$20-'2-ф2'!M17</f>
        <v>58289.86836728002</v>
      </c>
      <c r="N12" s="129">
        <f>M12+'1-Ф3'!N26/Исх!$C$20-'2-ф2'!N17</f>
        <v>57664.27620003002</v>
      </c>
      <c r="O12" s="129">
        <f>N12+'1-Ф3'!O26/Исх!$C$20-'2-ф2'!O17</f>
        <v>57038.684032780024</v>
      </c>
      <c r="P12" s="129">
        <f>O12</f>
        <v>57038.684032780024</v>
      </c>
      <c r="Q12" s="129">
        <f>P12+'1-Ф3'!Q26/Исх!$C$20-'2-ф2'!Q17</f>
        <v>56413.09186553003</v>
      </c>
      <c r="R12" s="129">
        <f>Q12+'1-Ф3'!R26/Исх!$C$20-'2-ф2'!R17</f>
        <v>55787.49969828003</v>
      </c>
      <c r="S12" s="129">
        <f>R12+'1-Ф3'!S26/Исх!$C$20-'2-ф2'!S17</f>
        <v>55161.90753103003</v>
      </c>
      <c r="T12" s="129">
        <f>S12+'1-Ф3'!T26/Исх!$C$20-'2-ф2'!T17</f>
        <v>54536.315363780035</v>
      </c>
      <c r="U12" s="129">
        <f>T12+'1-Ф3'!U26/Исх!$C$20-'2-ф2'!U17</f>
        <v>53910.72319653004</v>
      </c>
      <c r="V12" s="129">
        <f>U12+'1-Ф3'!V26/Исх!$C$20-'2-ф2'!V17</f>
        <v>53285.13102928004</v>
      </c>
      <c r="W12" s="129">
        <f>V12+'1-Ф3'!W26/Исх!$C$20-'2-ф2'!W17</f>
        <v>52659.538862030044</v>
      </c>
      <c r="X12" s="129">
        <f>W12+'1-Ф3'!X26/Исх!$C$20-'2-ф2'!X17</f>
        <v>52033.94669478005</v>
      </c>
      <c r="Y12" s="129">
        <f>X12+'1-Ф3'!Y26/Исх!$C$20-'2-ф2'!Y17</f>
        <v>51408.35452753005</v>
      </c>
      <c r="Z12" s="129">
        <f>Y12+'1-Ф3'!Z26/Исх!$C$20-'2-ф2'!Z17</f>
        <v>50782.76236028005</v>
      </c>
      <c r="AA12" s="129">
        <f>Z12+'1-Ф3'!AA26/Исх!$C$20-'2-ф2'!AA17</f>
        <v>50157.170193030055</v>
      </c>
      <c r="AB12" s="129">
        <f>AA12+'1-Ф3'!AB26/Исх!$C$20-'2-ф2'!AB17</f>
        <v>49531.57802578006</v>
      </c>
      <c r="AC12" s="129">
        <f>AB12</f>
        <v>49531.57802578006</v>
      </c>
      <c r="AD12" s="129">
        <f>AC12+'1-Ф3'!AD26/Исх!$C$20-'2-ф2'!AD17</f>
        <v>42024.472018780056</v>
      </c>
      <c r="AE12" s="129">
        <f>AD12+'1-Ф3'!AE26/Исх!$C$20-'2-ф2'!AE17</f>
        <v>34517.366011780054</v>
      </c>
      <c r="AF12" s="129">
        <f>AE12+'1-Ф3'!AF26/Исх!$C$20-'2-ф2'!AF17</f>
        <v>27010.26000478005</v>
      </c>
      <c r="AG12" s="129">
        <f>AF12+'1-Ф3'!AG26/Исх!$C$20-'2-ф2'!AG17</f>
        <v>19503.15399778005</v>
      </c>
      <c r="AH12" s="129">
        <f>AG12+'1-Ф3'!AH26/Исх!$C$20-'2-ф2'!AH17</f>
        <v>11996.047990780047</v>
      </c>
      <c r="AI12" s="129">
        <f>AH12+'1-Ф3'!AI26/Исх!$C$20-'2-ф2'!AI17</f>
        <v>4488.941983780046</v>
      </c>
    </row>
    <row r="13" spans="1:35" ht="15" customHeight="1" hidden="1">
      <c r="A13" s="128" t="s">
        <v>124</v>
      </c>
      <c r="B13" s="130"/>
      <c r="C13" s="129"/>
      <c r="D13" s="129">
        <f>C13</f>
        <v>0</v>
      </c>
      <c r="E13" s="129">
        <f>D13</f>
        <v>0</v>
      </c>
      <c r="F13" s="129">
        <f aca="true" t="shared" si="7" ref="F13:AI14">E13</f>
        <v>0</v>
      </c>
      <c r="G13" s="129">
        <f t="shared" si="7"/>
        <v>0</v>
      </c>
      <c r="H13" s="129">
        <f t="shared" si="7"/>
        <v>0</v>
      </c>
      <c r="I13" s="129">
        <f t="shared" si="7"/>
        <v>0</v>
      </c>
      <c r="J13" s="129">
        <f t="shared" si="7"/>
        <v>0</v>
      </c>
      <c r="K13" s="129">
        <f t="shared" si="7"/>
        <v>0</v>
      </c>
      <c r="L13" s="129">
        <f t="shared" si="7"/>
        <v>0</v>
      </c>
      <c r="M13" s="129">
        <f t="shared" si="7"/>
        <v>0</v>
      </c>
      <c r="N13" s="129">
        <f t="shared" si="7"/>
        <v>0</v>
      </c>
      <c r="O13" s="129">
        <f t="shared" si="7"/>
        <v>0</v>
      </c>
      <c r="P13" s="129">
        <f t="shared" si="7"/>
        <v>0</v>
      </c>
      <c r="Q13" s="129">
        <f t="shared" si="7"/>
        <v>0</v>
      </c>
      <c r="R13" s="129">
        <f t="shared" si="7"/>
        <v>0</v>
      </c>
      <c r="S13" s="129">
        <f t="shared" si="7"/>
        <v>0</v>
      </c>
      <c r="T13" s="129">
        <f t="shared" si="7"/>
        <v>0</v>
      </c>
      <c r="U13" s="129">
        <f t="shared" si="7"/>
        <v>0</v>
      </c>
      <c r="V13" s="129">
        <f t="shared" si="7"/>
        <v>0</v>
      </c>
      <c r="W13" s="129">
        <f t="shared" si="7"/>
        <v>0</v>
      </c>
      <c r="X13" s="129">
        <f t="shared" si="7"/>
        <v>0</v>
      </c>
      <c r="Y13" s="129">
        <f t="shared" si="7"/>
        <v>0</v>
      </c>
      <c r="Z13" s="129">
        <f t="shared" si="7"/>
        <v>0</v>
      </c>
      <c r="AA13" s="129">
        <f t="shared" si="7"/>
        <v>0</v>
      </c>
      <c r="AB13" s="129">
        <f t="shared" si="7"/>
        <v>0</v>
      </c>
      <c r="AC13" s="129">
        <f t="shared" si="7"/>
        <v>0</v>
      </c>
      <c r="AD13" s="129">
        <f t="shared" si="7"/>
        <v>0</v>
      </c>
      <c r="AE13" s="129">
        <f t="shared" si="7"/>
        <v>0</v>
      </c>
      <c r="AF13" s="129">
        <f t="shared" si="7"/>
        <v>0</v>
      </c>
      <c r="AG13" s="129">
        <f t="shared" si="7"/>
        <v>0</v>
      </c>
      <c r="AH13" s="129">
        <f t="shared" si="7"/>
        <v>0</v>
      </c>
      <c r="AI13" s="129">
        <f t="shared" si="7"/>
        <v>0</v>
      </c>
    </row>
    <row r="14" spans="1:35" ht="12.75">
      <c r="A14" s="128" t="s">
        <v>125</v>
      </c>
      <c r="B14" s="130"/>
      <c r="C14" s="129"/>
      <c r="D14" s="129">
        <f>IF('2-ф2'!D34&lt;0,-'2-ф2'!D34,0)</f>
        <v>0</v>
      </c>
      <c r="E14" s="129">
        <f>IF('2-ф2'!E34&lt;0,-'2-ф2'!E34,0)</f>
        <v>0</v>
      </c>
      <c r="F14" s="129">
        <f>IF('2-ф2'!F34&lt;0,-'2-ф2'!F34,0)</f>
        <v>0</v>
      </c>
      <c r="G14" s="129">
        <f>IF('2-ф2'!G34&lt;0,-'2-ф2'!G34,0)</f>
        <v>0</v>
      </c>
      <c r="H14" s="129">
        <f>IF('2-ф2'!H34&lt;0,-'2-ф2'!H34,0)</f>
        <v>0</v>
      </c>
      <c r="I14" s="129">
        <f>IF('2-ф2'!I34&lt;0,-'2-ф2'!I34,0)</f>
        <v>0</v>
      </c>
      <c r="J14" s="129">
        <f>IF('2-ф2'!J34&lt;0,-'2-ф2'!J34,0)</f>
        <v>0</v>
      </c>
      <c r="K14" s="129">
        <f>IF('2-ф2'!K34&lt;0,-'2-ф2'!K34,0)</f>
        <v>0</v>
      </c>
      <c r="L14" s="129">
        <f>IF('2-ф2'!L34&lt;0,-'2-ф2'!L34,0)</f>
        <v>0</v>
      </c>
      <c r="M14" s="129">
        <f>IF('2-ф2'!M34&lt;0,-'2-ф2'!M34,0)</f>
        <v>0</v>
      </c>
      <c r="N14" s="129">
        <f>IF('2-ф2'!N34&lt;0,-'2-ф2'!N34,0)</f>
        <v>0</v>
      </c>
      <c r="O14" s="129">
        <f>IF('2-ф2'!O34&lt;0,-'2-ф2'!O34,0)</f>
        <v>0</v>
      </c>
      <c r="P14" s="129">
        <f t="shared" si="7"/>
        <v>0</v>
      </c>
      <c r="Q14" s="129">
        <f>IF('2-ф2'!Q34&lt;0,-'2-ф2'!Q34,0)</f>
        <v>0</v>
      </c>
      <c r="R14" s="129">
        <f>IF('2-ф2'!R34&lt;0,-'2-ф2'!R34,0)</f>
        <v>0</v>
      </c>
      <c r="S14" s="129">
        <f>IF('2-ф2'!S34&lt;0,-'2-ф2'!S34,0)</f>
        <v>0</v>
      </c>
      <c r="T14" s="129">
        <f>IF('2-ф2'!T34&lt;0,-'2-ф2'!T34,0)</f>
        <v>0</v>
      </c>
      <c r="U14" s="129">
        <f>IF('2-ф2'!U34&lt;0,-'2-ф2'!U34,0)</f>
        <v>0</v>
      </c>
      <c r="V14" s="129">
        <f>IF('2-ф2'!V34&lt;0,-'2-ф2'!V34,0)</f>
        <v>0</v>
      </c>
      <c r="W14" s="129">
        <f>IF('2-ф2'!W34&lt;0,-'2-ф2'!W34,0)</f>
        <v>0</v>
      </c>
      <c r="X14" s="129">
        <f>IF('2-ф2'!X34&lt;0,-'2-ф2'!X34,0)</f>
        <v>0</v>
      </c>
      <c r="Y14" s="129">
        <f>IF('2-ф2'!Y34&lt;0,-'2-ф2'!Y34,0)</f>
        <v>0</v>
      </c>
      <c r="Z14" s="129">
        <f>IF('2-ф2'!Z34&lt;0,-'2-ф2'!Z34,0)</f>
        <v>0</v>
      </c>
      <c r="AA14" s="129">
        <f>IF('2-ф2'!AA34&lt;0,-'2-ф2'!AA34,0)</f>
        <v>0</v>
      </c>
      <c r="AB14" s="129">
        <f>IF('2-ф2'!AB34&lt;0,-'2-ф2'!AB34,0)</f>
        <v>0</v>
      </c>
      <c r="AC14" s="129">
        <f t="shared" si="7"/>
        <v>0</v>
      </c>
      <c r="AD14" s="129">
        <f>IF('2-ф2'!AD34&lt;0,-'2-ф2'!AD34,0)</f>
        <v>0</v>
      </c>
      <c r="AE14" s="129">
        <f>IF('2-ф2'!AE34&lt;0,-'2-ф2'!AE34,0)</f>
        <v>0</v>
      </c>
      <c r="AF14" s="129">
        <f>IF('2-ф2'!AF34&lt;0,-'2-ф2'!AF34,0)</f>
        <v>0</v>
      </c>
      <c r="AG14" s="129">
        <f>IF('2-ф2'!AG34&lt;0,-'2-ф2'!AG34,0)</f>
        <v>0</v>
      </c>
      <c r="AH14" s="129">
        <f>IF('2-ф2'!AH34&lt;0,-'2-ф2'!AH34,0)</f>
        <v>0</v>
      </c>
      <c r="AI14" s="129">
        <f>IF('2-ф2'!AI34&lt;0,-'2-ф2'!AI34,0)</f>
        <v>0</v>
      </c>
    </row>
    <row r="15" spans="1:184" ht="12.75">
      <c r="A15" s="13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</row>
    <row r="16" spans="1:42" s="127" customFormat="1" ht="15" customHeight="1">
      <c r="A16" s="123" t="s">
        <v>126</v>
      </c>
      <c r="B16" s="124"/>
      <c r="C16" s="124">
        <f aca="true" t="shared" si="8" ref="C16:AH16">C21+C24+C17</f>
        <v>0</v>
      </c>
      <c r="D16" s="124">
        <f t="shared" si="8"/>
        <v>42039.7936392</v>
      </c>
      <c r="E16" s="124">
        <f t="shared" si="8"/>
        <v>63294.605705279995</v>
      </c>
      <c r="F16" s="124">
        <f t="shared" si="8"/>
        <v>67034.58690402999</v>
      </c>
      <c r="G16" s="124">
        <f t="shared" si="8"/>
        <v>70774.56810277999</v>
      </c>
      <c r="H16" s="124">
        <f t="shared" si="8"/>
        <v>74768.35362153</v>
      </c>
      <c r="I16" s="124">
        <f t="shared" si="8"/>
        <v>78762.13914027999</v>
      </c>
      <c r="J16" s="124">
        <f t="shared" si="8"/>
        <v>82755.92465902999</v>
      </c>
      <c r="K16" s="124">
        <f t="shared" si="8"/>
        <v>86348.69417778</v>
      </c>
      <c r="L16" s="124">
        <f t="shared" si="8"/>
        <v>89941.46369653</v>
      </c>
      <c r="M16" s="124">
        <f t="shared" si="8"/>
        <v>92067.29081528</v>
      </c>
      <c r="N16" s="124">
        <f t="shared" si="8"/>
        <v>93615.59007021038</v>
      </c>
      <c r="O16" s="124">
        <f t="shared" si="8"/>
        <v>95163.88932514076</v>
      </c>
      <c r="P16" s="124">
        <f t="shared" si="8"/>
        <v>95163.88932514076</v>
      </c>
      <c r="Q16" s="124">
        <f t="shared" si="8"/>
        <v>95453.8043748285</v>
      </c>
      <c r="R16" s="124">
        <f t="shared" si="8"/>
        <v>95748.88884319975</v>
      </c>
      <c r="S16" s="124">
        <f t="shared" si="8"/>
        <v>96049.1427302545</v>
      </c>
      <c r="T16" s="124">
        <f t="shared" si="8"/>
        <v>96354.56603599277</v>
      </c>
      <c r="U16" s="124">
        <f t="shared" si="8"/>
        <v>96665.15876041455</v>
      </c>
      <c r="V16" s="124">
        <f t="shared" si="8"/>
        <v>96980.92090351983</v>
      </c>
      <c r="W16" s="124">
        <f t="shared" si="8"/>
        <v>97301.85246530862</v>
      </c>
      <c r="X16" s="124">
        <f t="shared" si="8"/>
        <v>95286.47709582276</v>
      </c>
      <c r="Y16" s="124">
        <f t="shared" si="8"/>
        <v>93276.27114502041</v>
      </c>
      <c r="Z16" s="124">
        <f t="shared" si="8"/>
        <v>91271.23461290158</v>
      </c>
      <c r="AA16" s="124">
        <f t="shared" si="8"/>
        <v>91612.84384942439</v>
      </c>
      <c r="AB16" s="124">
        <f t="shared" si="8"/>
        <v>91959.62250463074</v>
      </c>
      <c r="AC16" s="124">
        <f t="shared" si="8"/>
        <v>91959.62250463074</v>
      </c>
      <c r="AD16" s="124">
        <f t="shared" si="8"/>
        <v>90810.9787305225</v>
      </c>
      <c r="AE16" s="124">
        <f t="shared" si="8"/>
        <v>90406.73124683948</v>
      </c>
      <c r="AF16" s="124">
        <f t="shared" si="8"/>
        <v>90746.8800535817</v>
      </c>
      <c r="AG16" s="124">
        <f t="shared" si="8"/>
        <v>91831.42515074914</v>
      </c>
      <c r="AH16" s="124">
        <f t="shared" si="8"/>
        <v>93660.3665383418</v>
      </c>
      <c r="AI16" s="124">
        <f>AI21+AI24+AI17</f>
        <v>106526.75530360846</v>
      </c>
      <c r="AJ16" s="126"/>
      <c r="AK16" s="126"/>
      <c r="AL16" s="126"/>
      <c r="AM16" s="126"/>
      <c r="AN16" s="126"/>
      <c r="AO16" s="126"/>
      <c r="AP16" s="126"/>
    </row>
    <row r="17" spans="1:35" ht="15" customHeight="1">
      <c r="A17" s="123" t="s">
        <v>127</v>
      </c>
      <c r="B17" s="124"/>
      <c r="C17" s="124">
        <f aca="true" t="shared" si="9" ref="C17:AH17">SUM(C18:C20)</f>
        <v>0</v>
      </c>
      <c r="D17" s="124">
        <f t="shared" si="9"/>
        <v>0</v>
      </c>
      <c r="E17" s="124">
        <f t="shared" si="9"/>
        <v>245.23212956199998</v>
      </c>
      <c r="F17" s="124">
        <f t="shared" si="9"/>
        <v>595.563743222</v>
      </c>
      <c r="G17" s="124">
        <f t="shared" si="9"/>
        <v>945.895356882</v>
      </c>
      <c r="H17" s="124">
        <f t="shared" si="9"/>
        <v>1296.226970542</v>
      </c>
      <c r="I17" s="124">
        <f t="shared" si="9"/>
        <v>1646.5585842019998</v>
      </c>
      <c r="J17" s="124">
        <f t="shared" si="9"/>
        <v>1996.8901978619997</v>
      </c>
      <c r="K17" s="124">
        <f t="shared" si="9"/>
        <v>2347.221811522</v>
      </c>
      <c r="L17" s="124">
        <f t="shared" si="9"/>
        <v>2697.553425182</v>
      </c>
      <c r="M17" s="124">
        <f t="shared" si="9"/>
        <v>3047.885038842</v>
      </c>
      <c r="N17" s="124">
        <f t="shared" si="9"/>
        <v>3398.216652502</v>
      </c>
      <c r="O17" s="124">
        <f t="shared" si="9"/>
        <v>0</v>
      </c>
      <c r="P17" s="124">
        <f t="shared" si="9"/>
        <v>0</v>
      </c>
      <c r="Q17" s="124">
        <f t="shared" si="9"/>
        <v>0</v>
      </c>
      <c r="R17" s="124">
        <f t="shared" si="9"/>
        <v>0</v>
      </c>
      <c r="S17" s="124">
        <f t="shared" si="9"/>
        <v>0</v>
      </c>
      <c r="T17" s="124">
        <f t="shared" si="9"/>
        <v>0</v>
      </c>
      <c r="U17" s="124">
        <f t="shared" si="9"/>
        <v>0</v>
      </c>
      <c r="V17" s="124">
        <f t="shared" si="9"/>
        <v>0</v>
      </c>
      <c r="W17" s="124">
        <f t="shared" si="9"/>
        <v>0</v>
      </c>
      <c r="X17" s="124">
        <f t="shared" si="9"/>
        <v>0</v>
      </c>
      <c r="Y17" s="124">
        <f t="shared" si="9"/>
        <v>0</v>
      </c>
      <c r="Z17" s="124">
        <f t="shared" si="9"/>
        <v>0</v>
      </c>
      <c r="AA17" s="124">
        <f t="shared" si="9"/>
        <v>0</v>
      </c>
      <c r="AB17" s="124">
        <f t="shared" si="9"/>
        <v>0</v>
      </c>
      <c r="AC17" s="124">
        <f t="shared" si="9"/>
        <v>0</v>
      </c>
      <c r="AD17" s="124">
        <f t="shared" si="9"/>
        <v>0</v>
      </c>
      <c r="AE17" s="124">
        <f t="shared" si="9"/>
        <v>0</v>
      </c>
      <c r="AF17" s="124">
        <f t="shared" si="9"/>
        <v>0</v>
      </c>
      <c r="AG17" s="124">
        <f t="shared" si="9"/>
        <v>0</v>
      </c>
      <c r="AH17" s="124">
        <f t="shared" si="9"/>
        <v>0</v>
      </c>
      <c r="AI17" s="124">
        <f>SUM(AI18:AI20)</f>
        <v>0</v>
      </c>
    </row>
    <row r="18" spans="1:35" ht="12.75" hidden="1">
      <c r="A18" s="128" t="s">
        <v>128</v>
      </c>
      <c r="B18" s="130"/>
      <c r="C18" s="130"/>
      <c r="D18" s="130">
        <f>C18</f>
        <v>0</v>
      </c>
      <c r="E18" s="130">
        <f>D18</f>
        <v>0</v>
      </c>
      <c r="F18" s="130">
        <f aca="true" t="shared" si="10" ref="F18:O18">E18</f>
        <v>0</v>
      </c>
      <c r="G18" s="130">
        <f t="shared" si="10"/>
        <v>0</v>
      </c>
      <c r="H18" s="130">
        <f t="shared" si="10"/>
        <v>0</v>
      </c>
      <c r="I18" s="130">
        <f t="shared" si="10"/>
        <v>0</v>
      </c>
      <c r="J18" s="130">
        <f t="shared" si="10"/>
        <v>0</v>
      </c>
      <c r="K18" s="130">
        <f t="shared" si="10"/>
        <v>0</v>
      </c>
      <c r="L18" s="130">
        <f t="shared" si="10"/>
        <v>0</v>
      </c>
      <c r="M18" s="130">
        <f t="shared" si="10"/>
        <v>0</v>
      </c>
      <c r="N18" s="130">
        <f t="shared" si="10"/>
        <v>0</v>
      </c>
      <c r="O18" s="130">
        <f t="shared" si="10"/>
        <v>0</v>
      </c>
      <c r="P18" s="130">
        <f>O18</f>
        <v>0</v>
      </c>
      <c r="Q18" s="130">
        <f>P18</f>
        <v>0</v>
      </c>
      <c r="R18" s="130">
        <f>Q18</f>
        <v>0</v>
      </c>
      <c r="S18" s="130">
        <f>R18</f>
        <v>0</v>
      </c>
      <c r="T18" s="130">
        <f>S18</f>
        <v>0</v>
      </c>
      <c r="U18" s="130">
        <f aca="true" t="shared" si="11" ref="U18:AF18">T18</f>
        <v>0</v>
      </c>
      <c r="V18" s="130">
        <f t="shared" si="11"/>
        <v>0</v>
      </c>
      <c r="W18" s="130">
        <f t="shared" si="11"/>
        <v>0</v>
      </c>
      <c r="X18" s="130">
        <f t="shared" si="11"/>
        <v>0</v>
      </c>
      <c r="Y18" s="130">
        <f t="shared" si="11"/>
        <v>0</v>
      </c>
      <c r="Z18" s="130">
        <f t="shared" si="11"/>
        <v>0</v>
      </c>
      <c r="AA18" s="130">
        <f t="shared" si="11"/>
        <v>0</v>
      </c>
      <c r="AB18" s="130">
        <f t="shared" si="11"/>
        <v>0</v>
      </c>
      <c r="AC18" s="130">
        <f t="shared" si="11"/>
        <v>0</v>
      </c>
      <c r="AD18" s="130">
        <f t="shared" si="11"/>
        <v>0</v>
      </c>
      <c r="AE18" s="130">
        <f t="shared" si="11"/>
        <v>0</v>
      </c>
      <c r="AF18" s="130">
        <f t="shared" si="11"/>
        <v>0</v>
      </c>
      <c r="AG18" s="130">
        <f>AF18</f>
        <v>0</v>
      </c>
      <c r="AH18" s="130">
        <f>AG18</f>
        <v>0</v>
      </c>
      <c r="AI18" s="130">
        <f>AH18</f>
        <v>0</v>
      </c>
    </row>
    <row r="19" spans="1:36" ht="25.5">
      <c r="A19" s="128" t="s">
        <v>129</v>
      </c>
      <c r="B19" s="130"/>
      <c r="C19" s="130"/>
      <c r="D19" s="130">
        <f>C19+'2-ф2'!D18-'1-Ф3'!D20-кр!C8</f>
        <v>0</v>
      </c>
      <c r="E19" s="130">
        <f>D19+'2-ф2'!E18-'1-Ф3'!E20-кр!D8</f>
        <v>245.23212956199998</v>
      </c>
      <c r="F19" s="130">
        <f>E19+'2-ф2'!F18-'1-Ф3'!F20-кр!E8</f>
        <v>595.563743222</v>
      </c>
      <c r="G19" s="130">
        <f>F19+'2-ф2'!G18-'1-Ф3'!G20-кр!F8</f>
        <v>945.895356882</v>
      </c>
      <c r="H19" s="130">
        <f>G19+'2-ф2'!H18-'1-Ф3'!H20-кр!G8</f>
        <v>1296.226970542</v>
      </c>
      <c r="I19" s="130">
        <f>H19+'2-ф2'!I18-'1-Ф3'!I20-кр!H8</f>
        <v>1646.5585842019998</v>
      </c>
      <c r="J19" s="130">
        <f>I19+'2-ф2'!J18-'1-Ф3'!J20-кр!I8</f>
        <v>1996.8901978619997</v>
      </c>
      <c r="K19" s="130">
        <f>J19+'2-ф2'!K18-'1-Ф3'!K20-кр!J8</f>
        <v>2347.221811522</v>
      </c>
      <c r="L19" s="130">
        <f>K19+'2-ф2'!L18-'1-Ф3'!L20-кр!K8</f>
        <v>2697.553425182</v>
      </c>
      <c r="M19" s="130">
        <f>L19+'2-ф2'!M18-'1-Ф3'!M20-кр!L8</f>
        <v>3047.885038842</v>
      </c>
      <c r="N19" s="130">
        <f>M19+'2-ф2'!N18-'1-Ф3'!N20-кр!M8</f>
        <v>3398.216652502</v>
      </c>
      <c r="O19" s="130">
        <f>N19+'2-ф2'!O18-'1-Ф3'!O20-кр!N8</f>
        <v>0</v>
      </c>
      <c r="P19" s="130">
        <f>O19</f>
        <v>0</v>
      </c>
      <c r="Q19" s="130">
        <f>P19+'2-ф2'!Q18-'1-Ф3'!Q20-кр!P8</f>
        <v>0</v>
      </c>
      <c r="R19" s="130">
        <f>Q19+'2-ф2'!R18-'1-Ф3'!R20-кр!Q8</f>
        <v>0</v>
      </c>
      <c r="S19" s="130">
        <f>R19+'2-ф2'!S18-'1-Ф3'!S20-кр!R8</f>
        <v>0</v>
      </c>
      <c r="T19" s="130">
        <f>S19+'2-ф2'!T18-'1-Ф3'!T20-кр!S8</f>
        <v>0</v>
      </c>
      <c r="U19" s="130">
        <f>T19+'2-ф2'!U18-'1-Ф3'!U20-кр!T8</f>
        <v>0</v>
      </c>
      <c r="V19" s="130">
        <f>U19+'2-ф2'!V18-'1-Ф3'!V20-кр!U8</f>
        <v>0</v>
      </c>
      <c r="W19" s="130">
        <f>V19+'2-ф2'!W18-'1-Ф3'!W20-кр!V8</f>
        <v>0</v>
      </c>
      <c r="X19" s="130">
        <f>W19+'2-ф2'!X18-'1-Ф3'!X20-кр!W8</f>
        <v>0</v>
      </c>
      <c r="Y19" s="130">
        <f>X19+'2-ф2'!Y18-'1-Ф3'!Y20-кр!X8</f>
        <v>0</v>
      </c>
      <c r="Z19" s="130">
        <f>Y19+'2-ф2'!Z18-'1-Ф3'!Z20-кр!Y8</f>
        <v>0</v>
      </c>
      <c r="AA19" s="130">
        <f>Z19+'2-ф2'!AA18-'1-Ф3'!AA20-кр!Z8</f>
        <v>0</v>
      </c>
      <c r="AB19" s="130">
        <f>AA19+'2-ф2'!AB18-'1-Ф3'!AB20-кр!AA8</f>
        <v>0</v>
      </c>
      <c r="AC19" s="130">
        <f>AB19</f>
        <v>0</v>
      </c>
      <c r="AD19" s="130">
        <f>AC19+'2-ф2'!AD18-'1-Ф3'!AD20</f>
        <v>0</v>
      </c>
      <c r="AE19" s="130">
        <f>AD19+'2-ф2'!AE18-'1-Ф3'!AE20</f>
        <v>0</v>
      </c>
      <c r="AF19" s="130">
        <f>AE19+'2-ф2'!AF18-'1-Ф3'!AF20</f>
        <v>0</v>
      </c>
      <c r="AG19" s="130">
        <f>AF19+'2-ф2'!AG18-'1-Ф3'!AG20</f>
        <v>0</v>
      </c>
      <c r="AH19" s="130">
        <f>AG19+'2-ф2'!AH18-'1-Ф3'!AH20</f>
        <v>0</v>
      </c>
      <c r="AI19" s="130">
        <f>AH19+'2-ф2'!AI18-'1-Ф3'!AI20</f>
        <v>0</v>
      </c>
      <c r="AJ19" s="117"/>
    </row>
    <row r="20" spans="1:35" ht="12.75">
      <c r="A20" s="128" t="s">
        <v>131</v>
      </c>
      <c r="B20" s="130"/>
      <c r="C20" s="130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30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30">
        <f>AB20</f>
        <v>0</v>
      </c>
      <c r="AD20" s="130"/>
      <c r="AE20" s="130"/>
      <c r="AF20" s="130"/>
      <c r="AG20" s="130"/>
      <c r="AH20" s="130"/>
      <c r="AI20" s="130"/>
    </row>
    <row r="21" spans="1:35" ht="15" customHeight="1">
      <c r="A21" s="123" t="s">
        <v>132</v>
      </c>
      <c r="B21" s="124"/>
      <c r="C21" s="124">
        <f aca="true" t="shared" si="12" ref="C21:AH21">SUM(C22:C23)</f>
        <v>0</v>
      </c>
      <c r="D21" s="124">
        <f t="shared" si="12"/>
        <v>42039.7936392</v>
      </c>
      <c r="E21" s="124">
        <f t="shared" si="12"/>
        <v>60056.848055999995</v>
      </c>
      <c r="F21" s="124">
        <f t="shared" si="12"/>
        <v>60056.848055999995</v>
      </c>
      <c r="G21" s="124">
        <f t="shared" si="12"/>
        <v>60056.848055999995</v>
      </c>
      <c r="H21" s="124">
        <f t="shared" si="12"/>
        <v>60056.848055999995</v>
      </c>
      <c r="I21" s="124">
        <f t="shared" si="12"/>
        <v>60056.848055999995</v>
      </c>
      <c r="J21" s="124">
        <f t="shared" si="12"/>
        <v>60056.848055999995</v>
      </c>
      <c r="K21" s="124">
        <f t="shared" si="12"/>
        <v>60056.848055999995</v>
      </c>
      <c r="L21" s="124">
        <f t="shared" si="12"/>
        <v>60056.848055999995</v>
      </c>
      <c r="M21" s="124">
        <f t="shared" si="12"/>
        <v>60056.848055999995</v>
      </c>
      <c r="N21" s="124">
        <f t="shared" si="12"/>
        <v>60056.848055999995</v>
      </c>
      <c r="O21" s="124">
        <f t="shared" si="12"/>
        <v>63805.39632216199</v>
      </c>
      <c r="P21" s="124">
        <f t="shared" si="12"/>
        <v>63805.39632216199</v>
      </c>
      <c r="Q21" s="124">
        <f t="shared" si="12"/>
        <v>62919.210262131965</v>
      </c>
      <c r="R21" s="124">
        <f t="shared" si="12"/>
        <v>62033.02420210194</v>
      </c>
      <c r="S21" s="124">
        <f t="shared" si="12"/>
        <v>61146.83814207191</v>
      </c>
      <c r="T21" s="124">
        <f t="shared" si="12"/>
        <v>60260.65208204188</v>
      </c>
      <c r="U21" s="124">
        <f t="shared" si="12"/>
        <v>59374.46602201185</v>
      </c>
      <c r="V21" s="124">
        <f t="shared" si="12"/>
        <v>58488.279961981825</v>
      </c>
      <c r="W21" s="124">
        <f t="shared" si="12"/>
        <v>57602.0939019518</v>
      </c>
      <c r="X21" s="124">
        <f t="shared" si="12"/>
        <v>56715.90784192177</v>
      </c>
      <c r="Y21" s="124">
        <f t="shared" si="12"/>
        <v>55829.72178189174</v>
      </c>
      <c r="Z21" s="124">
        <f t="shared" si="12"/>
        <v>54943.535721861714</v>
      </c>
      <c r="AA21" s="124">
        <f t="shared" si="12"/>
        <v>54057.349661831686</v>
      </c>
      <c r="AB21" s="124">
        <f t="shared" si="12"/>
        <v>53171.16360180166</v>
      </c>
      <c r="AC21" s="124">
        <f t="shared" si="12"/>
        <v>53171.16360180166</v>
      </c>
      <c r="AD21" s="124">
        <f t="shared" si="12"/>
        <v>42536.93088144132</v>
      </c>
      <c r="AE21" s="124">
        <f t="shared" si="12"/>
        <v>31902.69816108099</v>
      </c>
      <c r="AF21" s="124">
        <f t="shared" si="12"/>
        <v>21268.465440720654</v>
      </c>
      <c r="AG21" s="124">
        <f t="shared" si="12"/>
        <v>10634.23272036032</v>
      </c>
      <c r="AH21" s="124">
        <f t="shared" si="12"/>
        <v>-1.3869794202037156E-11</v>
      </c>
      <c r="AI21" s="124">
        <f>SUM(AI22:AI23)</f>
        <v>-1.3869794202037156E-11</v>
      </c>
    </row>
    <row r="22" spans="1:35" ht="12.75">
      <c r="A22" s="128" t="s">
        <v>130</v>
      </c>
      <c r="B22" s="130"/>
      <c r="C22" s="124"/>
      <c r="D22" s="130">
        <f>кр!C12</f>
        <v>42039.7936392</v>
      </c>
      <c r="E22" s="130">
        <f>кр!D12</f>
        <v>60056.848055999995</v>
      </c>
      <c r="F22" s="130">
        <f>кр!E12</f>
        <v>60056.848055999995</v>
      </c>
      <c r="G22" s="130">
        <f>кр!F12</f>
        <v>60056.848055999995</v>
      </c>
      <c r="H22" s="130">
        <f>кр!G12</f>
        <v>60056.848055999995</v>
      </c>
      <c r="I22" s="130">
        <f>кр!H12</f>
        <v>60056.848055999995</v>
      </c>
      <c r="J22" s="130">
        <f>кр!I12</f>
        <v>60056.848055999995</v>
      </c>
      <c r="K22" s="130">
        <f>кр!J12</f>
        <v>60056.848055999995</v>
      </c>
      <c r="L22" s="130">
        <f>кр!K12</f>
        <v>60056.848055999995</v>
      </c>
      <c r="M22" s="130">
        <f>кр!L12</f>
        <v>60056.848055999995</v>
      </c>
      <c r="N22" s="130">
        <f>кр!M12</f>
        <v>60056.848055999995</v>
      </c>
      <c r="O22" s="130">
        <f>кр!N12</f>
        <v>63805.39632216199</v>
      </c>
      <c r="P22" s="130">
        <f>кр!O12</f>
        <v>63805.39632216199</v>
      </c>
      <c r="Q22" s="130">
        <f>кр!P12</f>
        <v>62919.210262131965</v>
      </c>
      <c r="R22" s="130">
        <f>кр!Q12</f>
        <v>62033.02420210194</v>
      </c>
      <c r="S22" s="130">
        <f>кр!R12</f>
        <v>61146.83814207191</v>
      </c>
      <c r="T22" s="130">
        <f>кр!S12</f>
        <v>60260.65208204188</v>
      </c>
      <c r="U22" s="130">
        <f>кр!T12</f>
        <v>59374.46602201185</v>
      </c>
      <c r="V22" s="130">
        <f>кр!U12</f>
        <v>58488.279961981825</v>
      </c>
      <c r="W22" s="130">
        <f>кр!V12</f>
        <v>57602.0939019518</v>
      </c>
      <c r="X22" s="130">
        <f>кр!W12</f>
        <v>56715.90784192177</v>
      </c>
      <c r="Y22" s="130">
        <f>кр!X12</f>
        <v>55829.72178189174</v>
      </c>
      <c r="Z22" s="130">
        <f>кр!Y12</f>
        <v>54943.535721861714</v>
      </c>
      <c r="AA22" s="130">
        <f>кр!Z12</f>
        <v>54057.349661831686</v>
      </c>
      <c r="AB22" s="130">
        <f>кр!AA12</f>
        <v>53171.16360180166</v>
      </c>
      <c r="AC22" s="130">
        <f>кр!AB12</f>
        <v>53171.16360180166</v>
      </c>
      <c r="AD22" s="130">
        <f>кр!AO12</f>
        <v>42536.93088144132</v>
      </c>
      <c r="AE22" s="130">
        <f>кр!BB12</f>
        <v>31902.69816108099</v>
      </c>
      <c r="AF22" s="130">
        <f>кр!BO12</f>
        <v>21268.465440720654</v>
      </c>
      <c r="AG22" s="130">
        <f>кр!CB12</f>
        <v>10634.23272036032</v>
      </c>
      <c r="AH22" s="130">
        <f>кр!CO12</f>
        <v>-1.3869794202037156E-11</v>
      </c>
      <c r="AI22" s="130">
        <f>кр!DB12</f>
        <v>-1.3869794202037156E-11</v>
      </c>
    </row>
    <row r="23" spans="1:35" ht="15" customHeight="1" hidden="1">
      <c r="A23" s="128" t="s">
        <v>133</v>
      </c>
      <c r="B23" s="130"/>
      <c r="C23" s="130"/>
      <c r="D23" s="130">
        <f>C23</f>
        <v>0</v>
      </c>
      <c r="E23" s="130">
        <f>D23</f>
        <v>0</v>
      </c>
      <c r="F23" s="130">
        <f aca="true" t="shared" si="13" ref="F23:AI23">E23</f>
        <v>0</v>
      </c>
      <c r="G23" s="130">
        <f t="shared" si="13"/>
        <v>0</v>
      </c>
      <c r="H23" s="130">
        <f t="shared" si="13"/>
        <v>0</v>
      </c>
      <c r="I23" s="130">
        <f t="shared" si="13"/>
        <v>0</v>
      </c>
      <c r="J23" s="130">
        <f t="shared" si="13"/>
        <v>0</v>
      </c>
      <c r="K23" s="130">
        <f t="shared" si="13"/>
        <v>0</v>
      </c>
      <c r="L23" s="130">
        <f t="shared" si="13"/>
        <v>0</v>
      </c>
      <c r="M23" s="130">
        <f t="shared" si="13"/>
        <v>0</v>
      </c>
      <c r="N23" s="130">
        <f t="shared" si="13"/>
        <v>0</v>
      </c>
      <c r="O23" s="130">
        <f t="shared" si="13"/>
        <v>0</v>
      </c>
      <c r="P23" s="130">
        <f t="shared" si="13"/>
        <v>0</v>
      </c>
      <c r="Q23" s="130">
        <f t="shared" si="13"/>
        <v>0</v>
      </c>
      <c r="R23" s="130">
        <f t="shared" si="13"/>
        <v>0</v>
      </c>
      <c r="S23" s="130">
        <f t="shared" si="13"/>
        <v>0</v>
      </c>
      <c r="T23" s="130">
        <f t="shared" si="13"/>
        <v>0</v>
      </c>
      <c r="U23" s="130">
        <f t="shared" si="13"/>
        <v>0</v>
      </c>
      <c r="V23" s="130">
        <f t="shared" si="13"/>
        <v>0</v>
      </c>
      <c r="W23" s="130">
        <f t="shared" si="13"/>
        <v>0</v>
      </c>
      <c r="X23" s="130">
        <f t="shared" si="13"/>
        <v>0</v>
      </c>
      <c r="Y23" s="130">
        <f t="shared" si="13"/>
        <v>0</v>
      </c>
      <c r="Z23" s="130">
        <f t="shared" si="13"/>
        <v>0</v>
      </c>
      <c r="AA23" s="130">
        <f t="shared" si="13"/>
        <v>0</v>
      </c>
      <c r="AB23" s="130">
        <f t="shared" si="13"/>
        <v>0</v>
      </c>
      <c r="AC23" s="124">
        <f>AB23</f>
        <v>0</v>
      </c>
      <c r="AD23" s="130">
        <f t="shared" si="13"/>
        <v>0</v>
      </c>
      <c r="AE23" s="130">
        <f t="shared" si="13"/>
        <v>0</v>
      </c>
      <c r="AF23" s="130">
        <f t="shared" si="13"/>
        <v>0</v>
      </c>
      <c r="AG23" s="130">
        <f t="shared" si="13"/>
        <v>0</v>
      </c>
      <c r="AH23" s="130">
        <f t="shared" si="13"/>
        <v>0</v>
      </c>
      <c r="AI23" s="130">
        <f t="shared" si="13"/>
        <v>0</v>
      </c>
    </row>
    <row r="24" spans="1:35" s="127" customFormat="1" ht="15" customHeight="1">
      <c r="A24" s="123" t="s">
        <v>134</v>
      </c>
      <c r="B24" s="124"/>
      <c r="C24" s="124">
        <f aca="true" t="shared" si="14" ref="C24:AH24">SUM(C25:C26)</f>
        <v>0</v>
      </c>
      <c r="D24" s="124">
        <f t="shared" si="14"/>
        <v>0</v>
      </c>
      <c r="E24" s="124">
        <f t="shared" si="14"/>
        <v>2992.525519718</v>
      </c>
      <c r="F24" s="124">
        <f t="shared" si="14"/>
        <v>6382.175104808</v>
      </c>
      <c r="G24" s="124">
        <f t="shared" si="14"/>
        <v>9771.824689898</v>
      </c>
      <c r="H24" s="124">
        <f t="shared" si="14"/>
        <v>13415.278594987998</v>
      </c>
      <c r="I24" s="124">
        <f t="shared" si="14"/>
        <v>17058.732500077997</v>
      </c>
      <c r="J24" s="124">
        <f t="shared" si="14"/>
        <v>20702.186405167995</v>
      </c>
      <c r="K24" s="124">
        <f t="shared" si="14"/>
        <v>23944.624310257997</v>
      </c>
      <c r="L24" s="124">
        <f t="shared" si="14"/>
        <v>27187.062215348</v>
      </c>
      <c r="M24" s="124">
        <f t="shared" si="14"/>
        <v>28962.557720438</v>
      </c>
      <c r="N24" s="124">
        <f t="shared" si="14"/>
        <v>30160.52536170838</v>
      </c>
      <c r="O24" s="124">
        <f t="shared" si="14"/>
        <v>31358.49300297876</v>
      </c>
      <c r="P24" s="124">
        <f t="shared" si="14"/>
        <v>31358.49300297876</v>
      </c>
      <c r="Q24" s="124">
        <f t="shared" si="14"/>
        <v>32534.59411269653</v>
      </c>
      <c r="R24" s="124">
        <f t="shared" si="14"/>
        <v>33715.86464109781</v>
      </c>
      <c r="S24" s="124">
        <f t="shared" si="14"/>
        <v>34902.3045881826</v>
      </c>
      <c r="T24" s="124">
        <f t="shared" si="14"/>
        <v>36093.91395395089</v>
      </c>
      <c r="U24" s="124">
        <f t="shared" si="14"/>
        <v>37290.69273840269</v>
      </c>
      <c r="V24" s="124">
        <f t="shared" si="14"/>
        <v>38492.640941538004</v>
      </c>
      <c r="W24" s="124">
        <f t="shared" si="14"/>
        <v>39699.75856335682</v>
      </c>
      <c r="X24" s="124">
        <f t="shared" si="14"/>
        <v>38570.56925390099</v>
      </c>
      <c r="Y24" s="124">
        <f t="shared" si="14"/>
        <v>37446.549363128666</v>
      </c>
      <c r="Z24" s="124">
        <f t="shared" si="14"/>
        <v>36327.69889103986</v>
      </c>
      <c r="AA24" s="124">
        <f t="shared" si="14"/>
        <v>37555.49418759271</v>
      </c>
      <c r="AB24" s="124">
        <f t="shared" si="14"/>
        <v>38788.45890282907</v>
      </c>
      <c r="AC24" s="124">
        <f t="shared" si="14"/>
        <v>38788.45890282907</v>
      </c>
      <c r="AD24" s="124">
        <f t="shared" si="14"/>
        <v>48274.04784908117</v>
      </c>
      <c r="AE24" s="124">
        <f t="shared" si="14"/>
        <v>58504.03308575849</v>
      </c>
      <c r="AF24" s="124">
        <f t="shared" si="14"/>
        <v>69478.41461286104</v>
      </c>
      <c r="AG24" s="124">
        <f t="shared" si="14"/>
        <v>81197.19243038882</v>
      </c>
      <c r="AH24" s="124">
        <f t="shared" si="14"/>
        <v>93660.36653834181</v>
      </c>
      <c r="AI24" s="124">
        <f>SUM(AI25:AI26)</f>
        <v>106526.75530360847</v>
      </c>
    </row>
    <row r="25" spans="1:35" ht="15" customHeight="1">
      <c r="A25" s="128" t="s">
        <v>135</v>
      </c>
      <c r="B25" s="124"/>
      <c r="C25" s="130"/>
      <c r="D25" s="130">
        <f>C25+'1-Ф3'!D33</f>
        <v>0</v>
      </c>
      <c r="E25" s="130">
        <f>D25+'1-Ф3'!E33</f>
        <v>3237.75764928</v>
      </c>
      <c r="F25" s="130">
        <f>E25+'1-Ф3'!F33</f>
        <v>7770.915943057777</v>
      </c>
      <c r="G25" s="130">
        <f>F25+'1-Ф3'!G33</f>
        <v>12304.074236835555</v>
      </c>
      <c r="H25" s="130">
        <f>G25+'1-Ф3'!H33</f>
        <v>17091.03685061333</v>
      </c>
      <c r="I25" s="130">
        <f>H25+'1-Ф3'!I33</f>
        <v>21877.99946439111</v>
      </c>
      <c r="J25" s="130">
        <f>I25+'1-Ф3'!J33</f>
        <v>26664.962078168886</v>
      </c>
      <c r="K25" s="130">
        <f>J25+'1-Ф3'!K33</f>
        <v>31050.908691946664</v>
      </c>
      <c r="L25" s="130">
        <f>K25+'1-Ф3'!L33</f>
        <v>35436.85530572444</v>
      </c>
      <c r="M25" s="130">
        <f>L25+'1-Ф3'!M33</f>
        <v>38355.85951950222</v>
      </c>
      <c r="N25" s="130">
        <f>M25+'1-Ф3'!N33</f>
        <v>38355.85951950222</v>
      </c>
      <c r="O25" s="130">
        <f>N25+'1-Ф3'!O33</f>
        <v>38355.85951950222</v>
      </c>
      <c r="P25" s="130">
        <f>O25</f>
        <v>38355.85951950222</v>
      </c>
      <c r="Q25" s="130">
        <f>P25+'1-Ф3'!Q33</f>
        <v>38355.85951950222</v>
      </c>
      <c r="R25" s="130">
        <f>Q25+'1-Ф3'!R33</f>
        <v>38355.85951950222</v>
      </c>
      <c r="S25" s="130">
        <f>R25+'1-Ф3'!S33</f>
        <v>38355.85951950222</v>
      </c>
      <c r="T25" s="130">
        <f>S25+'1-Ф3'!T33</f>
        <v>38355.85951950222</v>
      </c>
      <c r="U25" s="130">
        <f>T25+'1-Ф3'!U33</f>
        <v>38355.85951950222</v>
      </c>
      <c r="V25" s="130">
        <f>U25+'1-Ф3'!V33</f>
        <v>38355.85951950222</v>
      </c>
      <c r="W25" s="130">
        <f>V25+'1-Ф3'!W33</f>
        <v>38355.85951950222</v>
      </c>
      <c r="X25" s="130">
        <f>W25+'1-Ф3'!X33</f>
        <v>38355.85951950222</v>
      </c>
      <c r="Y25" s="130">
        <f>X25+'1-Ф3'!Y33</f>
        <v>38355.85951950222</v>
      </c>
      <c r="Z25" s="130">
        <f>Y25+'1-Ф3'!Z33</f>
        <v>38355.85951950222</v>
      </c>
      <c r="AA25" s="130">
        <f>Z25+'1-Ф3'!AA33</f>
        <v>38355.85951950222</v>
      </c>
      <c r="AB25" s="130">
        <f>AA25+'1-Ф3'!AB33</f>
        <v>38355.85951950222</v>
      </c>
      <c r="AC25" s="130">
        <f>AB25</f>
        <v>38355.85951950222</v>
      </c>
      <c r="AD25" s="130">
        <f>AC25+'1-Ф3'!AD33</f>
        <v>38355.85951950222</v>
      </c>
      <c r="AE25" s="130">
        <f>AD25+'1-Ф3'!AE33</f>
        <v>38355.85951950222</v>
      </c>
      <c r="AF25" s="130">
        <f>AE25+'1-Ф3'!AF33</f>
        <v>38355.85951950222</v>
      </c>
      <c r="AG25" s="130">
        <f>AF25+'1-Ф3'!AG33</f>
        <v>38355.85951950222</v>
      </c>
      <c r="AH25" s="130">
        <f>AG25+'1-Ф3'!AH33</f>
        <v>38355.85951950222</v>
      </c>
      <c r="AI25" s="130">
        <f>AH25+'1-Ф3'!AI33</f>
        <v>38355.85951950222</v>
      </c>
    </row>
    <row r="26" spans="1:35" ht="15" customHeight="1">
      <c r="A26" s="128" t="s">
        <v>136</v>
      </c>
      <c r="B26" s="124"/>
      <c r="C26" s="130"/>
      <c r="D26" s="130">
        <f>'2-ф2'!D22</f>
        <v>0</v>
      </c>
      <c r="E26" s="130">
        <f>'2-ф2'!E22</f>
        <v>-245.23212956199998</v>
      </c>
      <c r="F26" s="130">
        <f>'2-ф2'!F22</f>
        <v>-1388.7408382497779</v>
      </c>
      <c r="G26" s="130">
        <f>'2-ф2'!G22</f>
        <v>-2532.249546937556</v>
      </c>
      <c r="H26" s="130">
        <f>'2-ф2'!H22</f>
        <v>-3675.7582556253337</v>
      </c>
      <c r="I26" s="130">
        <f>'2-ф2'!I22</f>
        <v>-4819.266964313112</v>
      </c>
      <c r="J26" s="130">
        <f>'2-ф2'!J22</f>
        <v>-5962.77567300089</v>
      </c>
      <c r="K26" s="130">
        <f>'2-ф2'!K22</f>
        <v>-7106.284381688667</v>
      </c>
      <c r="L26" s="130">
        <f>'2-ф2'!L22</f>
        <v>-8249.793090376445</v>
      </c>
      <c r="M26" s="130">
        <f>'2-ф2'!M22</f>
        <v>-9393.301799064222</v>
      </c>
      <c r="N26" s="130">
        <f>'2-ф2'!N22</f>
        <v>-8195.33415779384</v>
      </c>
      <c r="O26" s="130">
        <f>'2-ф2'!O22</f>
        <v>-6997.36651652346</v>
      </c>
      <c r="P26" s="130">
        <f>'2-ф2'!P22</f>
        <v>-6997.36651652346</v>
      </c>
      <c r="Q26" s="130">
        <f>'2-ф2'!Q22</f>
        <v>-5821.265406805691</v>
      </c>
      <c r="R26" s="130">
        <f>'2-ф2'!R22</f>
        <v>-4639.994878404414</v>
      </c>
      <c r="S26" s="130">
        <f>'2-ф2'!S22</f>
        <v>-3453.554931319628</v>
      </c>
      <c r="T26" s="130">
        <f>'2-ф2'!T22</f>
        <v>-2261.945565551334</v>
      </c>
      <c r="U26" s="130">
        <f>'2-ф2'!U22</f>
        <v>-1065.166781099531</v>
      </c>
      <c r="V26" s="130">
        <f>'2-ф2'!V22</f>
        <v>136.78142203578045</v>
      </c>
      <c r="W26" s="130">
        <f>'2-ф2'!W22</f>
        <v>1343.8990438546004</v>
      </c>
      <c r="X26" s="130">
        <f>'2-ф2'!X22</f>
        <v>214.70973439877048</v>
      </c>
      <c r="Y26" s="130">
        <f>'2-ф2'!Y22</f>
        <v>-909.3101563735511</v>
      </c>
      <c r="Z26" s="130">
        <f>'2-ф2'!Z22</f>
        <v>-2028.1606284623642</v>
      </c>
      <c r="AA26" s="130">
        <f>'2-ф2'!AA22</f>
        <v>-800.3653319095104</v>
      </c>
      <c r="AB26" s="130">
        <f>'2-ф2'!AB22</f>
        <v>432.59938332685215</v>
      </c>
      <c r="AC26" s="130">
        <f>'2-ф2'!AC22</f>
        <v>432.59938332685215</v>
      </c>
      <c r="AD26" s="130">
        <f>'2-ф2'!AD22</f>
        <v>9918.188329578952</v>
      </c>
      <c r="AE26" s="130">
        <f>'2-ф2'!AE22</f>
        <v>20148.173566256275</v>
      </c>
      <c r="AF26" s="130">
        <f>'2-ф2'!AF22</f>
        <v>31122.555093358824</v>
      </c>
      <c r="AG26" s="130">
        <f>'2-ф2'!AG22</f>
        <v>42841.332910886595</v>
      </c>
      <c r="AH26" s="130">
        <f>'2-ф2'!AH22</f>
        <v>55304.50701883959</v>
      </c>
      <c r="AI26" s="130">
        <f>'2-ф2'!AI22</f>
        <v>68170.89578410625</v>
      </c>
    </row>
    <row r="28" spans="1:35" ht="12.75">
      <c r="A28" s="133" t="s">
        <v>137</v>
      </c>
      <c r="B28" s="134"/>
      <c r="C28" s="135">
        <f aca="true" t="shared" si="15" ref="C28:AH28">C5-C16</f>
        <v>0</v>
      </c>
      <c r="D28" s="136">
        <f t="shared" si="15"/>
        <v>0</v>
      </c>
      <c r="E28" s="136">
        <f t="shared" si="15"/>
        <v>0</v>
      </c>
      <c r="F28" s="136">
        <f t="shared" si="15"/>
        <v>0</v>
      </c>
      <c r="G28" s="136">
        <f t="shared" si="15"/>
        <v>0</v>
      </c>
      <c r="H28" s="136">
        <f t="shared" si="15"/>
        <v>0</v>
      </c>
      <c r="I28" s="136">
        <f t="shared" si="15"/>
        <v>0</v>
      </c>
      <c r="J28" s="136">
        <f t="shared" si="15"/>
        <v>0</v>
      </c>
      <c r="K28" s="136">
        <f t="shared" si="15"/>
        <v>0</v>
      </c>
      <c r="L28" s="136">
        <f t="shared" si="15"/>
        <v>0</v>
      </c>
      <c r="M28" s="136">
        <f t="shared" si="15"/>
        <v>0</v>
      </c>
      <c r="N28" s="136">
        <f t="shared" si="15"/>
        <v>0</v>
      </c>
      <c r="O28" s="136">
        <f t="shared" si="15"/>
        <v>0</v>
      </c>
      <c r="P28" s="136">
        <f>P5-P16</f>
        <v>0</v>
      </c>
      <c r="Q28" s="136">
        <f t="shared" si="15"/>
        <v>0</v>
      </c>
      <c r="R28" s="136">
        <f t="shared" si="15"/>
        <v>0</v>
      </c>
      <c r="S28" s="136">
        <f t="shared" si="15"/>
        <v>0</v>
      </c>
      <c r="T28" s="136">
        <f t="shared" si="15"/>
        <v>0</v>
      </c>
      <c r="U28" s="136">
        <f t="shared" si="15"/>
        <v>0</v>
      </c>
      <c r="V28" s="136">
        <f t="shared" si="15"/>
        <v>0</v>
      </c>
      <c r="W28" s="136">
        <f t="shared" si="15"/>
        <v>0</v>
      </c>
      <c r="X28" s="136">
        <f t="shared" si="15"/>
        <v>0</v>
      </c>
      <c r="Y28" s="136">
        <f t="shared" si="15"/>
        <v>0</v>
      </c>
      <c r="Z28" s="136">
        <f t="shared" si="15"/>
        <v>0</v>
      </c>
      <c r="AA28" s="136">
        <f t="shared" si="15"/>
        <v>0</v>
      </c>
      <c r="AB28" s="136">
        <f t="shared" si="15"/>
        <v>0</v>
      </c>
      <c r="AC28" s="136">
        <f t="shared" si="15"/>
        <v>0</v>
      </c>
      <c r="AD28" s="136">
        <f t="shared" si="15"/>
        <v>0</v>
      </c>
      <c r="AE28" s="136">
        <f t="shared" si="15"/>
        <v>0</v>
      </c>
      <c r="AF28" s="136">
        <f t="shared" si="15"/>
        <v>0</v>
      </c>
      <c r="AG28" s="136">
        <f t="shared" si="15"/>
        <v>0</v>
      </c>
      <c r="AH28" s="136">
        <f t="shared" si="15"/>
        <v>0</v>
      </c>
      <c r="AI28" s="136">
        <f>AI5-AI16</f>
        <v>0</v>
      </c>
    </row>
    <row r="29" ht="12.75" hidden="1"/>
    <row r="30" spans="1:35" ht="12.75" hidden="1">
      <c r="A30" s="116" t="s">
        <v>136</v>
      </c>
      <c r="P30" s="117">
        <f>P26</f>
        <v>-6997.36651652346</v>
      </c>
      <c r="Q30" s="117">
        <f>'[45]ф2'!Q32</f>
        <v>109.48954266069855</v>
      </c>
      <c r="R30" s="117">
        <f>'[45]ф2'!R32</f>
        <v>109.48954266069855</v>
      </c>
      <c r="S30" s="117">
        <f>'[45]ф2'!S32</f>
        <v>108.45296951069854</v>
      </c>
      <c r="T30" s="117">
        <f>'[45]ф2'!T32</f>
        <v>106.37982321069852</v>
      </c>
      <c r="U30" s="117">
        <f>'[45]ф2'!U32</f>
        <v>103.27010376069849</v>
      </c>
      <c r="V30" s="117">
        <f>'[45]ф2'!V32</f>
        <v>103.27010376069849</v>
      </c>
      <c r="W30" s="117">
        <f>'[45]ф2'!W32</f>
        <v>103.27010376069849</v>
      </c>
      <c r="X30" s="117">
        <f>'[45]ф2'!X32</f>
        <v>99.20125340855881</v>
      </c>
      <c r="Y30" s="117">
        <f>'[45]ф2'!Y32</f>
        <v>99.20125340855881</v>
      </c>
      <c r="Z30" s="117">
        <f>'[45]ф2'!Z32</f>
        <v>99.20125340855881</v>
      </c>
      <c r="AA30" s="117">
        <f>'[45]ф2'!AA32</f>
        <v>99.20125340855881</v>
      </c>
      <c r="AB30" s="117">
        <f>'[45]ф2'!AB32</f>
        <v>82.61608300855879</v>
      </c>
      <c r="AC30" s="117">
        <f>AC26-P26</f>
        <v>7429.965899850312</v>
      </c>
      <c r="AD30" s="117">
        <f aca="true" t="shared" si="16" ref="AD30:AI30">AD26-AC26</f>
        <v>9485.5889462521</v>
      </c>
      <c r="AE30" s="117">
        <f t="shared" si="16"/>
        <v>10229.985236677323</v>
      </c>
      <c r="AF30" s="117">
        <f t="shared" si="16"/>
        <v>10974.381527102549</v>
      </c>
      <c r="AG30" s="117">
        <f t="shared" si="16"/>
        <v>11718.77781752777</v>
      </c>
      <c r="AH30" s="117">
        <f t="shared" si="16"/>
        <v>12463.174107952997</v>
      </c>
      <c r="AI30" s="117">
        <f t="shared" si="16"/>
        <v>12866.38876526666</v>
      </c>
    </row>
    <row r="31" spans="1:35" ht="12.75" hidden="1">
      <c r="A31" s="116" t="s">
        <v>138</v>
      </c>
      <c r="P31" s="117">
        <f>(P8+P10+P13+P14)-(C8+C10+C13+C14)</f>
        <v>28657.241499916316</v>
      </c>
      <c r="AC31" s="117">
        <f>(AC8+AC10+AC13+AC14)-(P8+P10+P13+P14)</f>
        <v>2122.758629623426</v>
      </c>
      <c r="AD31" s="117">
        <f aca="true" t="shared" si="17" ref="AD31:AI31">(AD8+AD10+AD13+AD14)-(AC8+AC10+AC13+AC14)</f>
        <v>0</v>
      </c>
      <c r="AE31" s="117">
        <f t="shared" si="17"/>
        <v>0</v>
      </c>
      <c r="AF31" s="117">
        <f t="shared" si="17"/>
        <v>0</v>
      </c>
      <c r="AG31" s="117">
        <f t="shared" si="17"/>
        <v>0</v>
      </c>
      <c r="AH31" s="117">
        <f t="shared" si="17"/>
        <v>0</v>
      </c>
      <c r="AI31" s="117">
        <f t="shared" si="17"/>
        <v>0</v>
      </c>
    </row>
    <row r="32" spans="1:35" ht="12.75" hidden="1">
      <c r="A32" s="116" t="s">
        <v>139</v>
      </c>
      <c r="P32" s="117">
        <f>P9-C9</f>
        <v>0</v>
      </c>
      <c r="AC32" s="117">
        <f>AC9-P9</f>
        <v>0</v>
      </c>
      <c r="AD32" s="117">
        <f aca="true" t="shared" si="18" ref="AD32:AI32">AD9-AC9</f>
        <v>0</v>
      </c>
      <c r="AE32" s="117">
        <f t="shared" si="18"/>
        <v>0</v>
      </c>
      <c r="AF32" s="117">
        <f t="shared" si="18"/>
        <v>0</v>
      </c>
      <c r="AG32" s="117">
        <f t="shared" si="18"/>
        <v>0</v>
      </c>
      <c r="AH32" s="117">
        <f t="shared" si="18"/>
        <v>0</v>
      </c>
      <c r="AI32" s="117">
        <f t="shared" si="18"/>
        <v>0</v>
      </c>
    </row>
    <row r="33" spans="1:35" ht="12.75" hidden="1">
      <c r="A33" s="116" t="s">
        <v>140</v>
      </c>
      <c r="P33" s="117">
        <f>(P21+P17)-(C21+C17)</f>
        <v>63805.39632216199</v>
      </c>
      <c r="AC33" s="117">
        <f>(AC21+AC17)-(P21+P17)</f>
        <v>-10634.232720360334</v>
      </c>
      <c r="AD33" s="117">
        <f aca="true" t="shared" si="19" ref="AD33:AI33">(AD21+AD17)-(AC21+AC17)</f>
        <v>-10634.232720360334</v>
      </c>
      <c r="AE33" s="117">
        <f t="shared" si="19"/>
        <v>-10634.232720360334</v>
      </c>
      <c r="AF33" s="117">
        <f t="shared" si="19"/>
        <v>-10634.232720360334</v>
      </c>
      <c r="AG33" s="117">
        <f t="shared" si="19"/>
        <v>-10634.232720360334</v>
      </c>
      <c r="AH33" s="117">
        <f t="shared" si="19"/>
        <v>-10634.232720360334</v>
      </c>
      <c r="AI33" s="117">
        <f t="shared" si="19"/>
        <v>0</v>
      </c>
    </row>
    <row r="34" spans="1:35" ht="12.75" hidden="1">
      <c r="A34" s="116" t="s">
        <v>141</v>
      </c>
      <c r="P34" s="117">
        <f>-P31+P32+P33</f>
        <v>35148.15482224568</v>
      </c>
      <c r="Q34" s="117">
        <f aca="true" t="shared" si="20" ref="Q34:AB34">Q31+Q32+Q33</f>
        <v>0</v>
      </c>
      <c r="R34" s="117">
        <f t="shared" si="20"/>
        <v>0</v>
      </c>
      <c r="S34" s="117">
        <f t="shared" si="20"/>
        <v>0</v>
      </c>
      <c r="T34" s="117">
        <f t="shared" si="20"/>
        <v>0</v>
      </c>
      <c r="U34" s="117">
        <f t="shared" si="20"/>
        <v>0</v>
      </c>
      <c r="V34" s="117">
        <f t="shared" si="20"/>
        <v>0</v>
      </c>
      <c r="W34" s="117">
        <f t="shared" si="20"/>
        <v>0</v>
      </c>
      <c r="X34" s="117">
        <f t="shared" si="20"/>
        <v>0</v>
      </c>
      <c r="Y34" s="117">
        <f t="shared" si="20"/>
        <v>0</v>
      </c>
      <c r="Z34" s="117">
        <f t="shared" si="20"/>
        <v>0</v>
      </c>
      <c r="AA34" s="117">
        <f t="shared" si="20"/>
        <v>0</v>
      </c>
      <c r="AB34" s="117">
        <f t="shared" si="20"/>
        <v>0</v>
      </c>
      <c r="AC34" s="117">
        <f aca="true" t="shared" si="21" ref="AC34:AH34">-AC31+AC32+AC33</f>
        <v>-12756.99134998376</v>
      </c>
      <c r="AD34" s="117">
        <f t="shared" si="21"/>
        <v>-10634.232720360334</v>
      </c>
      <c r="AE34" s="117">
        <f t="shared" si="21"/>
        <v>-10634.232720360334</v>
      </c>
      <c r="AF34" s="117">
        <f t="shared" si="21"/>
        <v>-10634.232720360334</v>
      </c>
      <c r="AG34" s="117">
        <f t="shared" si="21"/>
        <v>-10634.232720360334</v>
      </c>
      <c r="AH34" s="117">
        <f t="shared" si="21"/>
        <v>-10634.232720360334</v>
      </c>
      <c r="AI34" s="117">
        <f>-AI31+AI32+AI33</f>
        <v>0</v>
      </c>
    </row>
    <row r="35" spans="1:35" ht="12.75" hidden="1">
      <c r="A35" s="116" t="s">
        <v>75</v>
      </c>
      <c r="P35" s="117">
        <f>'2-ф2'!P17</f>
        <v>6255.9216725</v>
      </c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>
        <f>'2-ф2'!AC17</f>
        <v>7507.106006999999</v>
      </c>
      <c r="AD35" s="117">
        <f>'2-ф2'!AD17</f>
        <v>7507.106007000001</v>
      </c>
      <c r="AE35" s="117">
        <f>'2-ф2'!AE17</f>
        <v>7507.106007000001</v>
      </c>
      <c r="AF35" s="117">
        <f>'2-ф2'!AF17</f>
        <v>7507.106007000001</v>
      </c>
      <c r="AG35" s="117">
        <f>'2-ф2'!AG17</f>
        <v>7507.106007000001</v>
      </c>
      <c r="AH35" s="117">
        <f>'2-ф2'!AH17</f>
        <v>7507.106007000001</v>
      </c>
      <c r="AI35" s="117">
        <f>'2-ф2'!AI17</f>
        <v>7507.106007000001</v>
      </c>
    </row>
    <row r="36" spans="1:35" ht="12.75" hidden="1">
      <c r="A36" s="116" t="s">
        <v>142</v>
      </c>
      <c r="P36" s="117">
        <f>-'1-Ф3'!P26</f>
        <v>-63294.605705279995</v>
      </c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>
        <f>-'1-Ф3'!AC26</f>
        <v>0</v>
      </c>
      <c r="AD36" s="117">
        <f>-'1-Ф3'!AD26</f>
        <v>0</v>
      </c>
      <c r="AE36" s="117">
        <f>-'1-Ф3'!AE26</f>
        <v>0</v>
      </c>
      <c r="AF36" s="117">
        <f>-'1-Ф3'!AF26</f>
        <v>0</v>
      </c>
      <c r="AG36" s="117">
        <f>-'1-Ф3'!AG26</f>
        <v>0</v>
      </c>
      <c r="AH36" s="117">
        <f>-'1-Ф3'!AH26</f>
        <v>0</v>
      </c>
      <c r="AI36" s="117">
        <f>-'1-Ф3'!AI26</f>
        <v>0</v>
      </c>
    </row>
    <row r="37" spans="1:35" ht="12.75" hidden="1">
      <c r="A37" s="116" t="s">
        <v>143</v>
      </c>
      <c r="P37" s="117">
        <f>P30+P34+P35+P36+P25</f>
        <v>9467.96379244444</v>
      </c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>
        <f aca="true" t="shared" si="22" ref="AC37:AH37">AC30+AC34+AC35+AC36</f>
        <v>2180.080556866551</v>
      </c>
      <c r="AD37" s="117">
        <f t="shared" si="22"/>
        <v>6358.462232891768</v>
      </c>
      <c r="AE37" s="117">
        <f t="shared" si="22"/>
        <v>7102.85852331699</v>
      </c>
      <c r="AF37" s="117">
        <f t="shared" si="22"/>
        <v>7847.254813742215</v>
      </c>
      <c r="AG37" s="117">
        <f t="shared" si="22"/>
        <v>8591.651104167438</v>
      </c>
      <c r="AH37" s="117">
        <f t="shared" si="22"/>
        <v>9336.047394592664</v>
      </c>
      <c r="AI37" s="117">
        <f>AI30+AI34+AI35+AI36</f>
        <v>20373.494772266662</v>
      </c>
    </row>
    <row r="38" ht="12.75" hidden="1"/>
    <row r="39" spans="1:35" ht="12.75" hidden="1">
      <c r="A39" s="116" t="s">
        <v>149</v>
      </c>
      <c r="P39" s="117">
        <f>'1-Ф3'!P39</f>
        <v>9467.96379244444</v>
      </c>
      <c r="AC39" s="117">
        <f>'1-Ф3'!AC39</f>
        <v>2180.08055686654</v>
      </c>
      <c r="AD39" s="117">
        <f>'1-Ф3'!AD39</f>
        <v>6358.46223289177</v>
      </c>
      <c r="AE39" s="117">
        <f>'1-Ф3'!AE39</f>
        <v>7102.858523316989</v>
      </c>
      <c r="AF39" s="117">
        <f>'1-Ф3'!AF39</f>
        <v>7847.2548137422145</v>
      </c>
      <c r="AG39" s="117">
        <f>'1-Ф3'!AG39</f>
        <v>8591.65110416744</v>
      </c>
      <c r="AH39" s="117">
        <f>'1-Ф3'!AH39</f>
        <v>9336.047394592659</v>
      </c>
      <c r="AI39" s="117">
        <f>'1-Ф3'!AI39</f>
        <v>20373.494772266655</v>
      </c>
    </row>
    <row r="40" spans="1:35" ht="12.75" hidden="1">
      <c r="A40" s="133" t="s">
        <v>137</v>
      </c>
      <c r="B40" s="134"/>
      <c r="C40" s="135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>
        <f>P39-P37</f>
        <v>0</v>
      </c>
      <c r="Q40" s="136">
        <f aca="true" t="shared" si="23" ref="Q40:AB40">Q39-Q37</f>
        <v>0</v>
      </c>
      <c r="R40" s="136">
        <f t="shared" si="23"/>
        <v>0</v>
      </c>
      <c r="S40" s="136">
        <f t="shared" si="23"/>
        <v>0</v>
      </c>
      <c r="T40" s="136">
        <f t="shared" si="23"/>
        <v>0</v>
      </c>
      <c r="U40" s="136">
        <f t="shared" si="23"/>
        <v>0</v>
      </c>
      <c r="V40" s="136">
        <f t="shared" si="23"/>
        <v>0</v>
      </c>
      <c r="W40" s="136">
        <f t="shared" si="23"/>
        <v>0</v>
      </c>
      <c r="X40" s="136">
        <f t="shared" si="23"/>
        <v>0</v>
      </c>
      <c r="Y40" s="136">
        <f t="shared" si="23"/>
        <v>0</v>
      </c>
      <c r="Z40" s="136">
        <f t="shared" si="23"/>
        <v>0</v>
      </c>
      <c r="AA40" s="136">
        <f t="shared" si="23"/>
        <v>0</v>
      </c>
      <c r="AB40" s="136">
        <f t="shared" si="23"/>
        <v>0</v>
      </c>
      <c r="AC40" s="136">
        <f aca="true" t="shared" si="24" ref="AC40:AH40">AC39-AC37</f>
        <v>-1.0913936421275139E-11</v>
      </c>
      <c r="AD40" s="136">
        <f t="shared" si="24"/>
        <v>0</v>
      </c>
      <c r="AE40" s="136">
        <f t="shared" si="24"/>
        <v>0</v>
      </c>
      <c r="AF40" s="136">
        <f t="shared" si="24"/>
        <v>0</v>
      </c>
      <c r="AG40" s="136">
        <f t="shared" si="24"/>
        <v>0</v>
      </c>
      <c r="AH40" s="136">
        <f t="shared" si="24"/>
        <v>0</v>
      </c>
      <c r="AI40" s="136">
        <f>AI39-AI37</f>
        <v>0</v>
      </c>
    </row>
    <row r="41" spans="11:14" ht="12.75">
      <c r="K41" s="236">
        <f>K28-J28</f>
        <v>0</v>
      </c>
      <c r="L41" s="236">
        <f>L28-K28</f>
        <v>0</v>
      </c>
      <c r="M41" s="236">
        <f>M28-L28</f>
        <v>0</v>
      </c>
      <c r="N41" s="236">
        <f>N28-M28</f>
        <v>0</v>
      </c>
    </row>
  </sheetData>
  <sheetProtection/>
  <mergeCells count="4">
    <mergeCell ref="A3:A4"/>
    <mergeCell ref="B3:B4"/>
    <mergeCell ref="D3:P3"/>
    <mergeCell ref="Q3:AC3"/>
  </mergeCells>
  <printOptions/>
  <pageMargins left="0.35433070866141736" right="0.2362204724409449" top="0.7874015748031497" bottom="0.2362204724409449" header="0.3937007874015748" footer="0.15748031496062992"/>
  <pageSetup horizontalDpi="600" verticalDpi="600" orientation="landscape" paperSize="9" r:id="rId1"/>
  <headerFooter alignWithMargins="0">
    <oddHeader>&amp;RПриложение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48"/>
  <sheetViews>
    <sheetView showGridLines="0" zoomScalePageLayoutView="0" workbookViewId="0" topLeftCell="A1">
      <pane ySplit="3" topLeftCell="A30" activePane="bottomLeft" state="frozen"/>
      <selection pane="topLeft" activeCell="A34" sqref="A34"/>
      <selection pane="bottomLeft" activeCell="E11" sqref="E11"/>
    </sheetView>
  </sheetViews>
  <sheetFormatPr defaultColWidth="9.00390625" defaultRowHeight="12.75"/>
  <cols>
    <col min="1" max="1" width="29.875" style="71" customWidth="1"/>
    <col min="2" max="2" width="18.75390625" style="71" customWidth="1"/>
    <col min="3" max="3" width="20.00390625" style="71" customWidth="1"/>
    <col min="4" max="4" width="19.00390625" style="71" customWidth="1"/>
    <col min="5" max="13" width="9.125" style="71" customWidth="1"/>
    <col min="14" max="14" width="14.375" style="71" customWidth="1"/>
    <col min="15" max="16384" width="9.125" style="71" customWidth="1"/>
  </cols>
  <sheetData>
    <row r="1" spans="1:3" ht="15.75" customHeight="1">
      <c r="A1" s="323" t="s">
        <v>36</v>
      </c>
      <c r="B1" s="323"/>
      <c r="C1" s="323"/>
    </row>
    <row r="2" spans="1:7" ht="12.75">
      <c r="A2" s="61"/>
      <c r="G2" s="241">
        <f>'1-Ф3'!B40</f>
        <v>71257.81319028871</v>
      </c>
    </row>
    <row r="3" spans="1:3" ht="12.75">
      <c r="A3" s="72" t="s">
        <v>26</v>
      </c>
      <c r="B3" s="73" t="s">
        <v>37</v>
      </c>
      <c r="C3" s="73" t="s">
        <v>7</v>
      </c>
    </row>
    <row r="4" ht="12.75">
      <c r="A4" s="61" t="s">
        <v>151</v>
      </c>
    </row>
    <row r="5" spans="1:3" ht="12.75">
      <c r="A5" s="74" t="s">
        <v>102</v>
      </c>
      <c r="B5" s="74"/>
      <c r="C5" s="142">
        <v>151.54</v>
      </c>
    </row>
    <row r="6" spans="1:3" ht="12.75">
      <c r="A6" s="74" t="s">
        <v>161</v>
      </c>
      <c r="B6" s="74"/>
      <c r="C6" s="227">
        <v>4.61</v>
      </c>
    </row>
    <row r="7" spans="1:4" ht="12.75">
      <c r="A7" s="74" t="s">
        <v>71</v>
      </c>
      <c r="B7" s="74"/>
      <c r="C7" s="154">
        <f>(20%*C8+C41*(1-C21)*(1-C8))*0+10%</f>
        <v>0.1</v>
      </c>
      <c r="D7" s="71" t="s">
        <v>211</v>
      </c>
    </row>
    <row r="8" spans="1:3" ht="12.75" hidden="1">
      <c r="A8" s="74" t="s">
        <v>207</v>
      </c>
      <c r="B8" s="74"/>
      <c r="C8" s="77">
        <v>0</v>
      </c>
    </row>
    <row r="9" spans="1:3" ht="12.75">
      <c r="A9" s="74" t="s">
        <v>144</v>
      </c>
      <c r="B9" s="74"/>
      <c r="C9" s="78" t="s">
        <v>57</v>
      </c>
    </row>
    <row r="10" ht="12.75">
      <c r="A10" s="61" t="s">
        <v>145</v>
      </c>
    </row>
    <row r="11" spans="1:3" ht="12.75">
      <c r="A11" s="74" t="s">
        <v>45</v>
      </c>
      <c r="B11" s="76" t="s">
        <v>39</v>
      </c>
      <c r="C11" s="77">
        <v>0.1</v>
      </c>
    </row>
    <row r="12" spans="1:3" ht="12.75">
      <c r="A12" s="74" t="s">
        <v>50</v>
      </c>
      <c r="B12" s="76" t="s">
        <v>39</v>
      </c>
      <c r="C12" s="77">
        <v>0.05</v>
      </c>
    </row>
    <row r="13" spans="1:3" ht="12.75">
      <c r="A13" s="74" t="s">
        <v>213</v>
      </c>
      <c r="B13" s="76" t="s">
        <v>39</v>
      </c>
      <c r="C13" s="77">
        <v>0.1</v>
      </c>
    </row>
    <row r="14" spans="1:3" ht="12.75" hidden="1">
      <c r="A14" s="74" t="s">
        <v>48</v>
      </c>
      <c r="B14" s="76" t="s">
        <v>39</v>
      </c>
      <c r="C14" s="77">
        <f>11%*0</f>
        <v>0</v>
      </c>
    </row>
    <row r="15" spans="1:3" ht="12.75">
      <c r="A15" s="74" t="s">
        <v>114</v>
      </c>
      <c r="B15" s="76" t="s">
        <v>57</v>
      </c>
      <c r="C15" s="79">
        <v>18.66</v>
      </c>
    </row>
    <row r="16" spans="1:4" ht="12.75">
      <c r="A16" s="74" t="s">
        <v>214</v>
      </c>
      <c r="B16" s="76"/>
      <c r="C16" s="267"/>
      <c r="D16" s="71" t="s">
        <v>212</v>
      </c>
    </row>
    <row r="17" spans="1:4" ht="12.75">
      <c r="A17" s="74" t="s">
        <v>268</v>
      </c>
      <c r="B17" s="76"/>
      <c r="C17" s="239">
        <v>0.001</v>
      </c>
      <c r="D17" s="71" t="s">
        <v>218</v>
      </c>
    </row>
    <row r="18" spans="1:4" ht="12.75">
      <c r="A18" s="74" t="s">
        <v>1</v>
      </c>
      <c r="B18" s="76"/>
      <c r="C18" s="239">
        <f>1.5%*0</f>
        <v>0</v>
      </c>
      <c r="D18" s="71" t="s">
        <v>212</v>
      </c>
    </row>
    <row r="19" spans="1:4" ht="12.75" hidden="1">
      <c r="A19" s="74" t="s">
        <v>38</v>
      </c>
      <c r="B19" s="76" t="s">
        <v>39</v>
      </c>
      <c r="C19" s="77">
        <f>12%*0</f>
        <v>0</v>
      </c>
      <c r="D19" s="71" t="s">
        <v>212</v>
      </c>
    </row>
    <row r="20" spans="1:4" ht="12.75" hidden="1">
      <c r="A20" s="74" t="s">
        <v>58</v>
      </c>
      <c r="B20" s="74"/>
      <c r="C20" s="75">
        <v>1</v>
      </c>
      <c r="D20" s="71" t="s">
        <v>212</v>
      </c>
    </row>
    <row r="21" spans="1:4" ht="12.75">
      <c r="A21" s="74" t="s">
        <v>191</v>
      </c>
      <c r="B21" s="74"/>
      <c r="C21" s="77">
        <v>0</v>
      </c>
      <c r="D21" s="71" t="s">
        <v>212</v>
      </c>
    </row>
    <row r="23" spans="1:10" ht="12.75">
      <c r="A23" s="61" t="s">
        <v>264</v>
      </c>
      <c r="C23" s="144" t="s">
        <v>7</v>
      </c>
      <c r="D23" s="144" t="s">
        <v>172</v>
      </c>
      <c r="E23" s="144"/>
      <c r="F23" s="144"/>
      <c r="G23" s="144"/>
      <c r="H23" s="144"/>
      <c r="I23" s="144"/>
      <c r="J23" s="144"/>
    </row>
    <row r="24" spans="1:10" ht="12.75">
      <c r="A24" s="74" t="s">
        <v>86</v>
      </c>
      <c r="B24" s="76" t="s">
        <v>215</v>
      </c>
      <c r="C24" s="143">
        <f>C35</f>
        <v>400</v>
      </c>
      <c r="D24" s="290">
        <f>SUM(D25:D26)</f>
        <v>1</v>
      </c>
      <c r="E24" s="144"/>
      <c r="F24" s="144"/>
      <c r="G24" s="144"/>
      <c r="H24" s="144"/>
      <c r="I24" s="144"/>
      <c r="J24" s="144"/>
    </row>
    <row r="25" spans="1:10" ht="12.75">
      <c r="A25" s="74" t="s">
        <v>265</v>
      </c>
      <c r="B25" s="76" t="s">
        <v>215</v>
      </c>
      <c r="C25" s="143">
        <f>$C$24*D25</f>
        <v>308</v>
      </c>
      <c r="D25" s="291">
        <v>0.77</v>
      </c>
      <c r="E25" s="144"/>
      <c r="F25" s="144"/>
      <c r="G25" s="144"/>
      <c r="H25" s="144"/>
      <c r="I25" s="144"/>
      <c r="J25" s="144"/>
    </row>
    <row r="26" spans="1:10" ht="12.75">
      <c r="A26" s="283" t="s">
        <v>266</v>
      </c>
      <c r="B26" s="76" t="s">
        <v>215</v>
      </c>
      <c r="C26" s="143">
        <f>$C$24*D26</f>
        <v>92</v>
      </c>
      <c r="D26" s="291">
        <v>0.23</v>
      </c>
      <c r="E26" s="144"/>
      <c r="F26" s="144"/>
      <c r="G26" s="144"/>
      <c r="H26" s="144"/>
      <c r="I26" s="144"/>
      <c r="J26" s="144"/>
    </row>
    <row r="27" ht="12.75">
      <c r="A27" s="61" t="s">
        <v>221</v>
      </c>
    </row>
    <row r="28" spans="1:3" ht="12.75">
      <c r="A28" s="161" t="s">
        <v>294</v>
      </c>
      <c r="B28" s="76" t="s">
        <v>223</v>
      </c>
      <c r="C28" s="227">
        <v>35</v>
      </c>
    </row>
    <row r="29" ht="12.75">
      <c r="A29" s="61" t="s">
        <v>224</v>
      </c>
    </row>
    <row r="30" spans="1:3" ht="12.75">
      <c r="A30" s="161" t="str">
        <f>A28</f>
        <v>Хлопок</v>
      </c>
      <c r="B30" s="76" t="s">
        <v>223</v>
      </c>
      <c r="C30" s="285">
        <v>1.54</v>
      </c>
    </row>
    <row r="31" ht="12.75">
      <c r="A31" s="61" t="s">
        <v>222</v>
      </c>
    </row>
    <row r="32" spans="1:5" ht="12.75">
      <c r="A32" s="161" t="s">
        <v>294</v>
      </c>
      <c r="B32" s="76" t="s">
        <v>225</v>
      </c>
      <c r="C32" s="142">
        <f>50340*1.13</f>
        <v>56884.2</v>
      </c>
      <c r="E32" s="224" t="s">
        <v>295</v>
      </c>
    </row>
    <row r="33" spans="1:3" ht="12.75">
      <c r="A33" s="161" t="s">
        <v>303</v>
      </c>
      <c r="B33" s="221" t="s">
        <v>226</v>
      </c>
      <c r="C33" s="268">
        <f>C32/1000*1.2</f>
        <v>68.26104</v>
      </c>
    </row>
    <row r="34" ht="12.75">
      <c r="A34" s="61" t="s">
        <v>216</v>
      </c>
    </row>
    <row r="35" spans="1:3" ht="12.75">
      <c r="A35" s="161" t="s">
        <v>267</v>
      </c>
      <c r="B35" s="221" t="s">
        <v>215</v>
      </c>
      <c r="C35" s="222">
        <v>400</v>
      </c>
    </row>
    <row r="36" spans="1:3" ht="12.75">
      <c r="A36" s="161"/>
      <c r="B36" s="221"/>
      <c r="C36" s="268"/>
    </row>
    <row r="37" ht="12.75">
      <c r="A37" s="61" t="s">
        <v>217</v>
      </c>
    </row>
    <row r="38" spans="1:3" ht="12.75">
      <c r="A38" s="161" t="s">
        <v>267</v>
      </c>
      <c r="B38" s="221" t="s">
        <v>57</v>
      </c>
      <c r="C38" s="280">
        <f>27100/3/400*C35</f>
        <v>9033.333333333334</v>
      </c>
    </row>
    <row r="39" spans="1:3" ht="12.75">
      <c r="A39" s="161"/>
      <c r="B39" s="221"/>
      <c r="C39" s="268"/>
    </row>
    <row r="40" ht="12.75">
      <c r="A40" s="61" t="s">
        <v>152</v>
      </c>
    </row>
    <row r="41" spans="1:3" ht="12.75">
      <c r="A41" s="74" t="s">
        <v>55</v>
      </c>
      <c r="B41" s="76" t="s">
        <v>39</v>
      </c>
      <c r="C41" s="77">
        <v>0.07</v>
      </c>
    </row>
    <row r="42" spans="1:3" ht="12.75">
      <c r="A42" s="74" t="s">
        <v>153</v>
      </c>
      <c r="B42" s="76" t="s">
        <v>154</v>
      </c>
      <c r="C42" s="227">
        <v>7</v>
      </c>
    </row>
    <row r="43" spans="1:3" ht="12.75">
      <c r="A43" s="74" t="s">
        <v>155</v>
      </c>
      <c r="B43" s="76" t="s">
        <v>157</v>
      </c>
      <c r="C43" s="142">
        <v>12</v>
      </c>
    </row>
    <row r="44" spans="1:3" ht="12.75">
      <c r="A44" s="74" t="s">
        <v>156</v>
      </c>
      <c r="B44" s="76" t="s">
        <v>157</v>
      </c>
      <c r="C44" s="142">
        <v>12</v>
      </c>
    </row>
    <row r="45" ht="7.5" customHeight="1"/>
    <row r="46" spans="1:5" ht="12.75">
      <c r="A46" s="61" t="s">
        <v>241</v>
      </c>
      <c r="B46" s="144" t="s">
        <v>199</v>
      </c>
      <c r="C46" s="144" t="s">
        <v>243</v>
      </c>
      <c r="D46" s="144" t="s">
        <v>242</v>
      </c>
      <c r="E46" s="71" t="s">
        <v>244</v>
      </c>
    </row>
    <row r="47" spans="1:5" ht="12.75">
      <c r="A47" s="143">
        <f>C35</f>
        <v>400</v>
      </c>
      <c r="B47" s="71" t="s">
        <v>215</v>
      </c>
      <c r="C47" s="273">
        <f>C17</f>
        <v>0.001</v>
      </c>
      <c r="D47" s="148">
        <f>C38</f>
        <v>9033.333333333334</v>
      </c>
      <c r="E47" s="148">
        <f>C47*D47</f>
        <v>9.033333333333335</v>
      </c>
    </row>
    <row r="48" spans="5:6" ht="12.75">
      <c r="E48" s="205">
        <f>SUM(E47:E47)</f>
        <v>9.033333333333335</v>
      </c>
      <c r="F48" s="61" t="s">
        <v>245</v>
      </c>
    </row>
  </sheetData>
  <sheetProtection/>
  <mergeCells count="1">
    <mergeCell ref="A1:C1"/>
  </mergeCells>
  <hyperlinks>
    <hyperlink ref="E32" r:id="rId1" display="http://yvision.kz/post/312063"/>
  </hyperlinks>
  <printOptions/>
  <pageMargins left="0.3" right="0.25" top="0.43" bottom="0.21" header="0.21" footer="0.2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9"/>
  <sheetViews>
    <sheetView showGridLines="0" zoomScalePageLayoutView="0" workbookViewId="0" topLeftCell="A1">
      <pane ySplit="4" topLeftCell="A5" activePane="bottomLeft" state="frozen"/>
      <selection pane="topLeft" activeCell="C8" sqref="C8"/>
      <selection pane="bottomLeft" activeCell="D26" sqref="D26"/>
    </sheetView>
  </sheetViews>
  <sheetFormatPr defaultColWidth="8.875" defaultRowHeight="12.75"/>
  <cols>
    <col min="1" max="1" width="29.75390625" style="71" customWidth="1"/>
    <col min="2" max="2" width="10.875" style="71" customWidth="1"/>
    <col min="3" max="7" width="8.875" style="71" customWidth="1"/>
    <col min="8" max="16384" width="8.875" style="71" customWidth="1"/>
  </cols>
  <sheetData>
    <row r="1" ht="12.75">
      <c r="A1" s="61" t="s">
        <v>95</v>
      </c>
    </row>
    <row r="2" ht="12.75">
      <c r="A2" s="61"/>
    </row>
    <row r="3" spans="1:7" ht="12.75">
      <c r="A3" s="71" t="s">
        <v>40</v>
      </c>
      <c r="C3" s="137"/>
      <c r="D3" s="137"/>
      <c r="E3" s="137"/>
      <c r="F3" s="137"/>
      <c r="G3" s="137"/>
    </row>
    <row r="4" spans="1:9" ht="12.75">
      <c r="A4" s="220" t="s">
        <v>96</v>
      </c>
      <c r="B4" s="216"/>
      <c r="C4" s="216">
        <v>2012</v>
      </c>
      <c r="D4" s="216">
        <f aca="true" t="shared" si="0" ref="D4:I4">C4+1</f>
        <v>2013</v>
      </c>
      <c r="E4" s="216">
        <f t="shared" si="0"/>
        <v>2014</v>
      </c>
      <c r="F4" s="216">
        <f t="shared" si="0"/>
        <v>2015</v>
      </c>
      <c r="G4" s="216">
        <f t="shared" si="0"/>
        <v>2016</v>
      </c>
      <c r="H4" s="216">
        <f t="shared" si="0"/>
        <v>2017</v>
      </c>
      <c r="I4" s="216">
        <f t="shared" si="0"/>
        <v>2018</v>
      </c>
    </row>
    <row r="5" spans="1:9" ht="12.75">
      <c r="A5" s="217"/>
      <c r="B5" s="219" t="s">
        <v>107</v>
      </c>
      <c r="C5" s="218">
        <f>C8*C9</f>
        <v>0</v>
      </c>
      <c r="D5" s="218">
        <f aca="true" t="shared" si="1" ref="D5:I5">D8*D9</f>
        <v>0</v>
      </c>
      <c r="E5" s="218">
        <f t="shared" si="1"/>
        <v>0</v>
      </c>
      <c r="F5" s="218">
        <f t="shared" si="1"/>
        <v>0</v>
      </c>
      <c r="G5" s="218">
        <f t="shared" si="1"/>
        <v>0</v>
      </c>
      <c r="H5" s="218">
        <f t="shared" si="1"/>
        <v>0</v>
      </c>
      <c r="I5" s="218">
        <f t="shared" si="1"/>
        <v>0</v>
      </c>
    </row>
    <row r="6" spans="1:9" ht="12.75">
      <c r="A6" s="74"/>
      <c r="B6" s="143"/>
      <c r="C6" s="143"/>
      <c r="D6" s="143"/>
      <c r="E6" s="143"/>
      <c r="F6" s="143"/>
      <c r="G6" s="143"/>
      <c r="H6" s="143"/>
      <c r="I6" s="143"/>
    </row>
    <row r="7" spans="1:9" ht="12.75">
      <c r="A7" s="74"/>
      <c r="B7" s="143"/>
      <c r="C7" s="143"/>
      <c r="D7" s="143"/>
      <c r="E7" s="143"/>
      <c r="F7" s="143"/>
      <c r="G7" s="143"/>
      <c r="H7" s="143"/>
      <c r="I7" s="143"/>
    </row>
    <row r="8" spans="1:9" ht="12.75">
      <c r="A8" s="74"/>
      <c r="B8" s="143"/>
      <c r="C8" s="143"/>
      <c r="D8" s="143"/>
      <c r="E8" s="143"/>
      <c r="F8" s="143"/>
      <c r="G8" s="143"/>
      <c r="H8" s="143"/>
      <c r="I8" s="143"/>
    </row>
    <row r="9" spans="1:9" ht="12.75">
      <c r="A9" s="74"/>
      <c r="B9" s="143"/>
      <c r="C9" s="143"/>
      <c r="D9" s="143"/>
      <c r="E9" s="143"/>
      <c r="F9" s="143"/>
      <c r="G9" s="143"/>
      <c r="H9" s="143"/>
      <c r="I9" s="143"/>
    </row>
  </sheetData>
  <sheetProtection/>
  <printOptions/>
  <pageMargins left="0.49" right="0.18" top="0.3" bottom="2.11" header="0.2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AY37"/>
  <sheetViews>
    <sheetView showGridLine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21" sqref="N21"/>
    </sheetView>
  </sheetViews>
  <sheetFormatPr defaultColWidth="8.875" defaultRowHeight="12.75"/>
  <cols>
    <col min="1" max="1" width="24.75390625" style="71" customWidth="1"/>
    <col min="2" max="2" width="7.125" style="71" customWidth="1"/>
    <col min="3" max="3" width="9.75390625" style="71" customWidth="1"/>
    <col min="4" max="4" width="14.75390625" style="71" customWidth="1"/>
    <col min="5" max="5" width="7.875" style="71" bestFit="1" customWidth="1"/>
    <col min="6" max="6" width="7.625" style="71" bestFit="1" customWidth="1"/>
    <col min="7" max="7" width="7.125" style="71" bestFit="1" customWidth="1"/>
    <col min="8" max="13" width="7.375" style="71" customWidth="1"/>
    <col min="14" max="14" width="9.625" style="71" customWidth="1"/>
    <col min="15" max="15" width="2.375" style="71" customWidth="1"/>
    <col min="16" max="16" width="6.625" style="71" customWidth="1"/>
    <col min="17" max="17" width="13.25390625" style="71" customWidth="1"/>
    <col min="18" max="18" width="7.375" style="71" customWidth="1"/>
    <col min="19" max="19" width="12.375" style="71" customWidth="1"/>
    <col min="20" max="20" width="6.125" style="71" customWidth="1"/>
    <col min="21" max="21" width="13.00390625" style="71" customWidth="1"/>
    <col min="22" max="22" width="7.875" style="71" customWidth="1"/>
    <col min="23" max="23" width="9.25390625" style="71" customWidth="1"/>
    <col min="24" max="24" width="8.00390625" style="71" customWidth="1"/>
    <col min="25" max="25" width="10.25390625" style="71" customWidth="1"/>
    <col min="26" max="26" width="11.125" style="71" customWidth="1"/>
    <col min="27" max="27" width="11.75390625" style="71" customWidth="1"/>
    <col min="28" max="28" width="11.625" style="71" customWidth="1"/>
    <col min="29" max="29" width="9.25390625" style="71" customWidth="1"/>
    <col min="30" max="30" width="6.125" style="71" customWidth="1"/>
    <col min="31" max="31" width="11.875" style="71" customWidth="1"/>
    <col min="32" max="32" width="7.875" style="71" customWidth="1"/>
    <col min="33" max="33" width="9.25390625" style="71" customWidth="1"/>
    <col min="34" max="34" width="6.125" style="71" customWidth="1"/>
    <col min="35" max="35" width="13.00390625" style="71" customWidth="1"/>
    <col min="36" max="36" width="7.875" style="71" customWidth="1"/>
    <col min="37" max="37" width="9.25390625" style="71" customWidth="1"/>
    <col min="38" max="38" width="6.125" style="71" customWidth="1"/>
    <col min="39" max="39" width="11.375" style="71" customWidth="1"/>
    <col min="40" max="40" width="7.875" style="71" customWidth="1"/>
    <col min="41" max="41" width="9.25390625" style="71" customWidth="1"/>
    <col min="42" max="42" width="8.375" style="71" customWidth="1"/>
    <col min="43" max="43" width="9.25390625" style="71" customWidth="1"/>
    <col min="44" max="44" width="11.375" style="71" customWidth="1"/>
    <col min="45" max="45" width="10.625" style="71" customWidth="1"/>
    <col min="46" max="46" width="13.00390625" style="71" customWidth="1"/>
    <col min="47" max="47" width="14.125" style="71" customWidth="1"/>
    <col min="48" max="16384" width="8.875" style="71" customWidth="1"/>
  </cols>
  <sheetData>
    <row r="1" spans="1:11" ht="12.75">
      <c r="A1" s="61" t="s">
        <v>293</v>
      </c>
      <c r="B1" s="61"/>
      <c r="C1" s="61"/>
      <c r="D1" s="61"/>
      <c r="E1" s="61"/>
      <c r="F1" s="61"/>
      <c r="G1" s="61"/>
      <c r="H1" s="61"/>
      <c r="I1" s="61"/>
      <c r="K1" s="61"/>
    </row>
    <row r="3" ht="12.75">
      <c r="A3" s="61" t="s">
        <v>238</v>
      </c>
    </row>
    <row r="4" spans="1:9" ht="12.75">
      <c r="A4" s="324" t="s">
        <v>304</v>
      </c>
      <c r="B4" s="326" t="s">
        <v>296</v>
      </c>
      <c r="C4" s="327"/>
      <c r="D4" s="327"/>
      <c r="E4" s="328"/>
      <c r="F4" s="329" t="s">
        <v>271</v>
      </c>
      <c r="G4" s="331" t="s">
        <v>86</v>
      </c>
      <c r="I4" s="71" t="s">
        <v>297</v>
      </c>
    </row>
    <row r="5" spans="1:9" ht="12.75">
      <c r="A5" s="325"/>
      <c r="B5" s="271" t="s">
        <v>305</v>
      </c>
      <c r="C5" s="271" t="s">
        <v>199</v>
      </c>
      <c r="D5" s="271" t="s">
        <v>307</v>
      </c>
      <c r="E5" s="271" t="s">
        <v>158</v>
      </c>
      <c r="F5" s="330"/>
      <c r="G5" s="332"/>
      <c r="I5" s="224" t="s">
        <v>355</v>
      </c>
    </row>
    <row r="6" spans="1:7" ht="12.75">
      <c r="A6" s="74" t="s">
        <v>269</v>
      </c>
      <c r="B6" s="227">
        <v>90.7</v>
      </c>
      <c r="C6" s="284" t="s">
        <v>306</v>
      </c>
      <c r="D6" s="142">
        <f>22489/B6*$B$23</f>
        <v>312.4160970231532</v>
      </c>
      <c r="E6" s="270">
        <f>B6*D6/1000</f>
        <v>28.336139999999997</v>
      </c>
      <c r="F6" s="165">
        <f aca="true" t="shared" si="0" ref="F6:F16">E6/$F$20</f>
        <v>8.468661087866108</v>
      </c>
      <c r="G6" s="148">
        <f>E6*Исх!$C$25</f>
        <v>8727.53112</v>
      </c>
    </row>
    <row r="7" spans="1:7" ht="12.75">
      <c r="A7" s="74" t="s">
        <v>200</v>
      </c>
      <c r="B7" s="285">
        <v>2.15</v>
      </c>
      <c r="C7" s="284" t="s">
        <v>308</v>
      </c>
      <c r="D7" s="142">
        <f>16746/B7*$B$23</f>
        <v>9813.93488372093</v>
      </c>
      <c r="E7" s="270">
        <f>B7*D7/1000</f>
        <v>21.09996</v>
      </c>
      <c r="F7" s="165">
        <f t="shared" si="0"/>
        <v>6.30602510460251</v>
      </c>
      <c r="G7" s="148">
        <f>E7*Исх!$C$25</f>
        <v>6498.787679999999</v>
      </c>
    </row>
    <row r="8" spans="1:7" ht="12.75">
      <c r="A8" s="74" t="s">
        <v>298</v>
      </c>
      <c r="B8" s="227">
        <v>1.6</v>
      </c>
      <c r="C8" s="284" t="s">
        <v>308</v>
      </c>
      <c r="D8" s="142">
        <f>9304/B8*$B$23</f>
        <v>7326.9</v>
      </c>
      <c r="E8" s="270">
        <f>B8*D8/1000</f>
        <v>11.723040000000001</v>
      </c>
      <c r="F8" s="165">
        <f t="shared" si="0"/>
        <v>3.5035983263598327</v>
      </c>
      <c r="G8" s="148">
        <f>E8*Исх!$C$25</f>
        <v>3610.6963200000005</v>
      </c>
    </row>
    <row r="9" spans="1:7" ht="12.75">
      <c r="A9" s="74" t="s">
        <v>299</v>
      </c>
      <c r="B9" s="143"/>
      <c r="C9" s="225"/>
      <c r="D9" s="143"/>
      <c r="E9" s="227">
        <f>3.1*$B$23</f>
        <v>3.906</v>
      </c>
      <c r="F9" s="165">
        <f t="shared" si="0"/>
        <v>1.1673640167364017</v>
      </c>
      <c r="G9" s="148">
        <f>E9*Исх!$C$25</f>
        <v>1203.048</v>
      </c>
    </row>
    <row r="10" spans="1:7" ht="12.75">
      <c r="A10" s="74" t="s">
        <v>300</v>
      </c>
      <c r="B10" s="143"/>
      <c r="C10" s="225"/>
      <c r="D10" s="143"/>
      <c r="E10" s="227">
        <f>5.258*$B$23</f>
        <v>6.62508</v>
      </c>
      <c r="F10" s="165">
        <f t="shared" si="0"/>
        <v>1.9799999999999998</v>
      </c>
      <c r="G10" s="148">
        <f>E10*Исх!$C$25</f>
        <v>2040.5246399999999</v>
      </c>
    </row>
    <row r="11" spans="1:7" ht="12.75">
      <c r="A11" s="74" t="s">
        <v>301</v>
      </c>
      <c r="B11" s="143"/>
      <c r="C11" s="225"/>
      <c r="D11" s="143"/>
      <c r="E11" s="227">
        <f>4.522*$B$23</f>
        <v>5.69772</v>
      </c>
      <c r="F11" s="165">
        <f t="shared" si="0"/>
        <v>1.7028451882845188</v>
      </c>
      <c r="G11" s="148">
        <f>E11*Исх!$C$25</f>
        <v>1754.89776</v>
      </c>
    </row>
    <row r="12" spans="1:7" ht="12.75">
      <c r="A12" s="74" t="s">
        <v>302</v>
      </c>
      <c r="B12" s="143"/>
      <c r="C12" s="225"/>
      <c r="D12" s="143"/>
      <c r="E12" s="227">
        <f>0.962*$B$23</f>
        <v>1.2121199999999999</v>
      </c>
      <c r="F12" s="165">
        <f t="shared" si="0"/>
        <v>0.3622594142259414</v>
      </c>
      <c r="G12" s="148">
        <f>E12*Исх!$C$25</f>
        <v>373.33295999999996</v>
      </c>
    </row>
    <row r="13" spans="1:7" ht="12.75">
      <c r="A13" s="74" t="s">
        <v>309</v>
      </c>
      <c r="B13" s="143"/>
      <c r="C13" s="225"/>
      <c r="D13" s="143"/>
      <c r="E13" s="227">
        <f>18.9*$B$23</f>
        <v>23.814</v>
      </c>
      <c r="F13" s="165">
        <f t="shared" si="0"/>
        <v>7.117154811715481</v>
      </c>
      <c r="G13" s="148">
        <f>E13*Исх!$C$25</f>
        <v>7334.712</v>
      </c>
    </row>
    <row r="14" spans="1:7" ht="12.75">
      <c r="A14" s="74" t="s">
        <v>310</v>
      </c>
      <c r="B14" s="143"/>
      <c r="C14" s="225"/>
      <c r="D14" s="143"/>
      <c r="E14" s="227">
        <f>2.116*$B$23</f>
        <v>2.66616</v>
      </c>
      <c r="F14" s="165">
        <f t="shared" si="0"/>
        <v>0.7968200836820084</v>
      </c>
      <c r="G14" s="148">
        <f>E14*Исх!$C$25</f>
        <v>821.17728</v>
      </c>
    </row>
    <row r="15" spans="1:7" ht="12.75">
      <c r="A15" s="74" t="s">
        <v>311</v>
      </c>
      <c r="B15" s="143"/>
      <c r="C15" s="225"/>
      <c r="D15" s="143"/>
      <c r="E15" s="227">
        <f>4.202*$B$23</f>
        <v>5.29452</v>
      </c>
      <c r="F15" s="165">
        <f t="shared" si="0"/>
        <v>1.5823430962343097</v>
      </c>
      <c r="G15" s="148">
        <f>E15*Исх!$C$25</f>
        <v>1630.71216</v>
      </c>
    </row>
    <row r="16" spans="1:7" ht="12.75">
      <c r="A16" s="74" t="s">
        <v>312</v>
      </c>
      <c r="B16" s="143"/>
      <c r="C16" s="225"/>
      <c r="D16" s="143"/>
      <c r="E16" s="227">
        <f>5.78*$B$23</f>
        <v>7.2828</v>
      </c>
      <c r="F16" s="165">
        <f t="shared" si="0"/>
        <v>2.1765690376569036</v>
      </c>
      <c r="G16" s="148">
        <f>E16*Исх!$C$25</f>
        <v>2243.1023999999998</v>
      </c>
    </row>
    <row r="17" spans="1:7" ht="12.75">
      <c r="A17" s="150" t="s">
        <v>0</v>
      </c>
      <c r="B17" s="149"/>
      <c r="C17" s="149"/>
      <c r="D17" s="149"/>
      <c r="E17" s="238">
        <f>SUM(E6:E16)</f>
        <v>117.65754000000001</v>
      </c>
      <c r="F17" s="238">
        <f>SUM(F6:F16)</f>
        <v>35.163640167364015</v>
      </c>
      <c r="G17" s="149">
        <f>SUM(G6:G16)</f>
        <v>36238.522320000004</v>
      </c>
    </row>
    <row r="18" spans="1:7" ht="12.75">
      <c r="A18" s="74" t="s">
        <v>236</v>
      </c>
      <c r="B18" s="165"/>
      <c r="C18" s="165"/>
      <c r="D18" s="165"/>
      <c r="E18" s="165"/>
      <c r="F18" s="165">
        <f>Исх!C28</f>
        <v>35</v>
      </c>
      <c r="G18" s="148">
        <f>F18*Исх!$C$25</f>
        <v>10780</v>
      </c>
    </row>
    <row r="19" spans="1:7" ht="12.75">
      <c r="A19" s="74" t="s">
        <v>237</v>
      </c>
      <c r="B19" s="272"/>
      <c r="C19" s="272"/>
      <c r="D19" s="272"/>
      <c r="E19" s="272"/>
      <c r="F19" s="272">
        <f>F18-Исх!C30</f>
        <v>33.46</v>
      </c>
      <c r="G19" s="148">
        <f>F19*Исх!$C$25</f>
        <v>10305.68</v>
      </c>
    </row>
    <row r="20" spans="1:7" ht="12.75">
      <c r="A20" s="295" t="s">
        <v>239</v>
      </c>
      <c r="B20" s="296"/>
      <c r="C20" s="296"/>
      <c r="D20" s="296"/>
      <c r="E20" s="296"/>
      <c r="F20" s="297">
        <f>F19/10</f>
        <v>3.346</v>
      </c>
      <c r="G20" s="292">
        <f>G19/10</f>
        <v>1030.568</v>
      </c>
    </row>
    <row r="21" spans="1:7" ht="12.75">
      <c r="A21" s="298" t="s">
        <v>270</v>
      </c>
      <c r="B21" s="299"/>
      <c r="C21" s="299"/>
      <c r="D21" s="299"/>
      <c r="E21" s="299"/>
      <c r="F21" s="300">
        <f>F17</f>
        <v>35.163640167364015</v>
      </c>
      <c r="G21" s="294">
        <f>G17/G20</f>
        <v>35.16364016736402</v>
      </c>
    </row>
    <row r="23" spans="1:2" ht="12.75">
      <c r="A23" s="74" t="s">
        <v>341</v>
      </c>
      <c r="B23" s="286">
        <f>1.26</f>
        <v>1.26</v>
      </c>
    </row>
    <row r="24" ht="12.75">
      <c r="A24" s="61"/>
    </row>
    <row r="25" spans="1:51" ht="12.75">
      <c r="A25" s="217" t="s">
        <v>235</v>
      </c>
      <c r="B25" s="226" t="s">
        <v>285</v>
      </c>
      <c r="C25" s="226" t="s">
        <v>286</v>
      </c>
      <c r="D25" s="226" t="s">
        <v>287</v>
      </c>
      <c r="E25" s="226" t="s">
        <v>288</v>
      </c>
      <c r="F25" s="226" t="s">
        <v>196</v>
      </c>
      <c r="G25" s="226" t="s">
        <v>289</v>
      </c>
      <c r="H25" s="226" t="s">
        <v>290</v>
      </c>
      <c r="I25" s="226" t="s">
        <v>291</v>
      </c>
      <c r="J25" s="226" t="s">
        <v>281</v>
      </c>
      <c r="K25" s="226" t="s">
        <v>282</v>
      </c>
      <c r="L25" s="226" t="s">
        <v>283</v>
      </c>
      <c r="M25" s="226" t="s">
        <v>284</v>
      </c>
      <c r="N25" s="226" t="s">
        <v>0</v>
      </c>
      <c r="P25" s="144" t="s">
        <v>157</v>
      </c>
      <c r="AY25" s="144"/>
    </row>
    <row r="26" spans="1:51" ht="12.75">
      <c r="A26" s="74" t="str">
        <f>A6</f>
        <v>Заработная плата</v>
      </c>
      <c r="B26" s="143"/>
      <c r="C26" s="143"/>
      <c r="D26" s="143">
        <f aca="true" t="shared" si="1" ref="D26:K27">$G6/$P26</f>
        <v>1090.94139</v>
      </c>
      <c r="E26" s="143">
        <f t="shared" si="1"/>
        <v>1090.94139</v>
      </c>
      <c r="F26" s="143">
        <f t="shared" si="1"/>
        <v>1090.94139</v>
      </c>
      <c r="G26" s="143">
        <f t="shared" si="1"/>
        <v>1090.94139</v>
      </c>
      <c r="H26" s="143">
        <f t="shared" si="1"/>
        <v>1090.94139</v>
      </c>
      <c r="I26" s="143">
        <f t="shared" si="1"/>
        <v>1090.94139</v>
      </c>
      <c r="J26" s="143">
        <f t="shared" si="1"/>
        <v>1090.94139</v>
      </c>
      <c r="K26" s="143">
        <f t="shared" si="1"/>
        <v>1090.94139</v>
      </c>
      <c r="L26" s="143"/>
      <c r="M26" s="143"/>
      <c r="N26" s="149">
        <f aca="true" t="shared" si="2" ref="N26:N36">SUM(B26:M26)</f>
        <v>8727.53112</v>
      </c>
      <c r="P26" s="286">
        <v>8</v>
      </c>
      <c r="Q26" s="197">
        <f aca="true" t="shared" si="3" ref="Q26:Q37">N26-G6</f>
        <v>0</v>
      </c>
      <c r="AY26" s="144"/>
    </row>
    <row r="27" spans="1:17" ht="12.75">
      <c r="A27" s="74" t="str">
        <f aca="true" t="shared" si="4" ref="A27:A36">A7</f>
        <v>ГСМ</v>
      </c>
      <c r="B27" s="143"/>
      <c r="C27" s="143"/>
      <c r="D27" s="143">
        <f t="shared" si="1"/>
        <v>812.3484599999999</v>
      </c>
      <c r="E27" s="143">
        <f t="shared" si="1"/>
        <v>812.3484599999999</v>
      </c>
      <c r="F27" s="143">
        <f t="shared" si="1"/>
        <v>812.3484599999999</v>
      </c>
      <c r="G27" s="143">
        <f t="shared" si="1"/>
        <v>812.3484599999999</v>
      </c>
      <c r="H27" s="143">
        <f t="shared" si="1"/>
        <v>812.3484599999999</v>
      </c>
      <c r="I27" s="143">
        <f t="shared" si="1"/>
        <v>812.3484599999999</v>
      </c>
      <c r="J27" s="143">
        <f t="shared" si="1"/>
        <v>812.3484599999999</v>
      </c>
      <c r="K27" s="143">
        <f t="shared" si="1"/>
        <v>812.3484599999999</v>
      </c>
      <c r="L27" s="143"/>
      <c r="M27" s="143"/>
      <c r="N27" s="149">
        <f t="shared" si="2"/>
        <v>6498.78768</v>
      </c>
      <c r="P27" s="286">
        <v>8</v>
      </c>
      <c r="Q27" s="197">
        <f t="shared" si="3"/>
        <v>0</v>
      </c>
    </row>
    <row r="28" spans="1:17" ht="12.75">
      <c r="A28" s="74" t="str">
        <f t="shared" si="4"/>
        <v>Минеральные удобрения</v>
      </c>
      <c r="B28" s="143"/>
      <c r="C28" s="143"/>
      <c r="D28" s="143">
        <f>$G8/$P28</f>
        <v>1203.56544</v>
      </c>
      <c r="E28" s="143">
        <f>$G8/$P28</f>
        <v>1203.56544</v>
      </c>
      <c r="F28" s="143"/>
      <c r="G28" s="143"/>
      <c r="H28" s="143"/>
      <c r="I28" s="143"/>
      <c r="J28" s="143"/>
      <c r="K28" s="143"/>
      <c r="L28" s="143">
        <f>$G8/$P28</f>
        <v>1203.56544</v>
      </c>
      <c r="M28" s="143"/>
      <c r="N28" s="149">
        <f t="shared" si="2"/>
        <v>3610.69632</v>
      </c>
      <c r="P28" s="286">
        <v>3</v>
      </c>
      <c r="Q28" s="197">
        <f t="shared" si="3"/>
        <v>0</v>
      </c>
    </row>
    <row r="29" spans="1:17" ht="12.75">
      <c r="A29" s="74" t="str">
        <f t="shared" si="4"/>
        <v>Гербициды, ядохимикаты</v>
      </c>
      <c r="B29" s="143"/>
      <c r="C29" s="143"/>
      <c r="D29" s="143"/>
      <c r="E29" s="143"/>
      <c r="F29" s="143">
        <f>$G9/$P29</f>
        <v>401.016</v>
      </c>
      <c r="G29" s="143">
        <f>$G9/$P29</f>
        <v>401.016</v>
      </c>
      <c r="H29" s="143">
        <f>$G9/$P29</f>
        <v>401.016</v>
      </c>
      <c r="I29" s="143"/>
      <c r="J29" s="143"/>
      <c r="K29" s="143"/>
      <c r="L29" s="143"/>
      <c r="M29" s="143"/>
      <c r="N29" s="149">
        <f t="shared" si="2"/>
        <v>1203.048</v>
      </c>
      <c r="P29" s="286">
        <v>3</v>
      </c>
      <c r="Q29" s="197">
        <f t="shared" si="3"/>
        <v>0</v>
      </c>
    </row>
    <row r="30" spans="1:17" ht="12.75">
      <c r="A30" s="74" t="str">
        <f t="shared" si="4"/>
        <v>Текущий ремонт</v>
      </c>
      <c r="B30" s="143"/>
      <c r="C30" s="143"/>
      <c r="D30" s="143">
        <f aca="true" t="shared" si="5" ref="D30:M30">$G10/$P30</f>
        <v>204.052464</v>
      </c>
      <c r="E30" s="143">
        <f t="shared" si="5"/>
        <v>204.052464</v>
      </c>
      <c r="F30" s="143">
        <f t="shared" si="5"/>
        <v>204.052464</v>
      </c>
      <c r="G30" s="143">
        <f t="shared" si="5"/>
        <v>204.052464</v>
      </c>
      <c r="H30" s="143">
        <f t="shared" si="5"/>
        <v>204.052464</v>
      </c>
      <c r="I30" s="143">
        <f t="shared" si="5"/>
        <v>204.052464</v>
      </c>
      <c r="J30" s="143">
        <f t="shared" si="5"/>
        <v>204.052464</v>
      </c>
      <c r="K30" s="143">
        <f t="shared" si="5"/>
        <v>204.052464</v>
      </c>
      <c r="L30" s="143">
        <f t="shared" si="5"/>
        <v>204.052464</v>
      </c>
      <c r="M30" s="143">
        <f t="shared" si="5"/>
        <v>204.052464</v>
      </c>
      <c r="N30" s="149">
        <f t="shared" si="2"/>
        <v>2040.5246399999996</v>
      </c>
      <c r="P30" s="286">
        <v>10</v>
      </c>
      <c r="Q30" s="197">
        <f t="shared" si="3"/>
        <v>0</v>
      </c>
    </row>
    <row r="31" spans="1:17" ht="12.75">
      <c r="A31" s="74" t="str">
        <f t="shared" si="4"/>
        <v>Транспортные услуги</v>
      </c>
      <c r="B31" s="143"/>
      <c r="C31" s="143"/>
      <c r="D31" s="143">
        <f aca="true" t="shared" si="6" ref="D31:K32">$G11/$P31</f>
        <v>219.36222</v>
      </c>
      <c r="E31" s="143">
        <f t="shared" si="6"/>
        <v>219.36222</v>
      </c>
      <c r="F31" s="143">
        <f t="shared" si="6"/>
        <v>219.36222</v>
      </c>
      <c r="G31" s="143">
        <f t="shared" si="6"/>
        <v>219.36222</v>
      </c>
      <c r="H31" s="143">
        <f t="shared" si="6"/>
        <v>219.36222</v>
      </c>
      <c r="I31" s="143">
        <f t="shared" si="6"/>
        <v>219.36222</v>
      </c>
      <c r="J31" s="143">
        <f t="shared" si="6"/>
        <v>219.36222</v>
      </c>
      <c r="K31" s="143">
        <f t="shared" si="6"/>
        <v>219.36222</v>
      </c>
      <c r="L31" s="143"/>
      <c r="M31" s="143"/>
      <c r="N31" s="149">
        <f t="shared" si="2"/>
        <v>1754.89776</v>
      </c>
      <c r="P31" s="286">
        <v>8</v>
      </c>
      <c r="Q31" s="197">
        <f t="shared" si="3"/>
        <v>0</v>
      </c>
    </row>
    <row r="32" spans="1:17" ht="12.75">
      <c r="A32" s="74" t="str">
        <f t="shared" si="4"/>
        <v>Электроэнергия</v>
      </c>
      <c r="B32" s="143"/>
      <c r="C32" s="143"/>
      <c r="D32" s="143">
        <f t="shared" si="6"/>
        <v>37.333296</v>
      </c>
      <c r="E32" s="143">
        <f t="shared" si="6"/>
        <v>37.333296</v>
      </c>
      <c r="F32" s="143">
        <f t="shared" si="6"/>
        <v>37.333296</v>
      </c>
      <c r="G32" s="143">
        <f t="shared" si="6"/>
        <v>37.333296</v>
      </c>
      <c r="H32" s="143">
        <f t="shared" si="6"/>
        <v>37.333296</v>
      </c>
      <c r="I32" s="143">
        <f t="shared" si="6"/>
        <v>37.333296</v>
      </c>
      <c r="J32" s="143">
        <f t="shared" si="6"/>
        <v>37.333296</v>
      </c>
      <c r="K32" s="143">
        <f t="shared" si="6"/>
        <v>37.333296</v>
      </c>
      <c r="L32" s="143">
        <f>$G12/$P32</f>
        <v>37.333296</v>
      </c>
      <c r="M32" s="143">
        <f>$G12/$P32</f>
        <v>37.333296</v>
      </c>
      <c r="N32" s="149">
        <f t="shared" si="2"/>
        <v>373.33296</v>
      </c>
      <c r="P32" s="286">
        <v>10</v>
      </c>
      <c r="Q32" s="197">
        <f t="shared" si="3"/>
        <v>0</v>
      </c>
    </row>
    <row r="33" spans="1:17" ht="12.75">
      <c r="A33" s="74" t="str">
        <f t="shared" si="4"/>
        <v>Оросительная вода</v>
      </c>
      <c r="B33" s="143"/>
      <c r="C33" s="143"/>
      <c r="D33" s="143"/>
      <c r="E33" s="143"/>
      <c r="F33" s="143">
        <f>$G13/$P33</f>
        <v>1466.9424000000001</v>
      </c>
      <c r="G33" s="143">
        <f>$G13/$P33</f>
        <v>1466.9424000000001</v>
      </c>
      <c r="H33" s="143">
        <f>$G13/$P33</f>
        <v>1466.9424000000001</v>
      </c>
      <c r="I33" s="143">
        <f>$G13/$P33</f>
        <v>1466.9424000000001</v>
      </c>
      <c r="J33" s="143">
        <f>$G13/$P33</f>
        <v>1466.9424000000001</v>
      </c>
      <c r="K33" s="143"/>
      <c r="L33" s="143"/>
      <c r="M33" s="143"/>
      <c r="N33" s="149">
        <f t="shared" si="2"/>
        <v>7334.712</v>
      </c>
      <c r="P33" s="286">
        <v>5</v>
      </c>
      <c r="Q33" s="197">
        <f t="shared" si="3"/>
        <v>0</v>
      </c>
    </row>
    <row r="34" spans="1:17" ht="12.75">
      <c r="A34" s="74" t="str">
        <f t="shared" si="4"/>
        <v>Страховые платежи</v>
      </c>
      <c r="B34" s="143"/>
      <c r="C34" s="143"/>
      <c r="D34" s="143">
        <f>$G14/$P34</f>
        <v>410.58864</v>
      </c>
      <c r="E34" s="143">
        <f>$G14/$P34</f>
        <v>410.58864</v>
      </c>
      <c r="F34" s="143"/>
      <c r="G34" s="143"/>
      <c r="H34" s="143"/>
      <c r="I34" s="143"/>
      <c r="J34" s="143"/>
      <c r="K34" s="143"/>
      <c r="L34" s="143"/>
      <c r="M34" s="143"/>
      <c r="N34" s="149">
        <f t="shared" si="2"/>
        <v>821.17728</v>
      </c>
      <c r="P34" s="286">
        <v>2</v>
      </c>
      <c r="Q34" s="197">
        <f t="shared" si="3"/>
        <v>0</v>
      </c>
    </row>
    <row r="35" spans="1:17" ht="12.75">
      <c r="A35" s="74" t="str">
        <f t="shared" si="4"/>
        <v>Налоги и платежи</v>
      </c>
      <c r="B35" s="143"/>
      <c r="C35" s="143"/>
      <c r="D35" s="143">
        <f>$G15/$P35</f>
        <v>163.071216</v>
      </c>
      <c r="E35" s="143">
        <f>$G15/$P35</f>
        <v>163.071216</v>
      </c>
      <c r="F35" s="143">
        <f aca="true" t="shared" si="7" ref="F35:M35">$G15/$P35</f>
        <v>163.071216</v>
      </c>
      <c r="G35" s="143">
        <f t="shared" si="7"/>
        <v>163.071216</v>
      </c>
      <c r="H35" s="143">
        <f t="shared" si="7"/>
        <v>163.071216</v>
      </c>
      <c r="I35" s="143">
        <f t="shared" si="7"/>
        <v>163.071216</v>
      </c>
      <c r="J35" s="143">
        <f t="shared" si="7"/>
        <v>163.071216</v>
      </c>
      <c r="K35" s="143">
        <f t="shared" si="7"/>
        <v>163.071216</v>
      </c>
      <c r="L35" s="143">
        <f t="shared" si="7"/>
        <v>163.071216</v>
      </c>
      <c r="M35" s="143">
        <f t="shared" si="7"/>
        <v>163.071216</v>
      </c>
      <c r="N35" s="149">
        <f t="shared" si="2"/>
        <v>1630.7121600000003</v>
      </c>
      <c r="P35" s="286">
        <v>10</v>
      </c>
      <c r="Q35" s="197">
        <f t="shared" si="3"/>
        <v>0</v>
      </c>
    </row>
    <row r="36" spans="1:17" ht="12.75">
      <c r="A36" s="74" t="str">
        <f t="shared" si="4"/>
        <v>Прочие затраты</v>
      </c>
      <c r="B36" s="143"/>
      <c r="C36" s="143"/>
      <c r="D36" s="143">
        <f aca="true" t="shared" si="8" ref="D36:M36">$G16/$P36</f>
        <v>224.31023999999996</v>
      </c>
      <c r="E36" s="143">
        <f t="shared" si="8"/>
        <v>224.31023999999996</v>
      </c>
      <c r="F36" s="143">
        <f t="shared" si="8"/>
        <v>224.31023999999996</v>
      </c>
      <c r="G36" s="143">
        <f t="shared" si="8"/>
        <v>224.31023999999996</v>
      </c>
      <c r="H36" s="143">
        <f t="shared" si="8"/>
        <v>224.31023999999996</v>
      </c>
      <c r="I36" s="143">
        <f t="shared" si="8"/>
        <v>224.31023999999996</v>
      </c>
      <c r="J36" s="143">
        <f t="shared" si="8"/>
        <v>224.31023999999996</v>
      </c>
      <c r="K36" s="143">
        <f t="shared" si="8"/>
        <v>224.31023999999996</v>
      </c>
      <c r="L36" s="143">
        <f t="shared" si="8"/>
        <v>224.31023999999996</v>
      </c>
      <c r="M36" s="143">
        <f t="shared" si="8"/>
        <v>224.31023999999996</v>
      </c>
      <c r="N36" s="149">
        <f t="shared" si="2"/>
        <v>2243.1023999999998</v>
      </c>
      <c r="P36" s="286">
        <v>10</v>
      </c>
      <c r="Q36" s="197">
        <f t="shared" si="3"/>
        <v>0</v>
      </c>
    </row>
    <row r="37" spans="1:51" ht="12.75">
      <c r="A37" s="217" t="s">
        <v>86</v>
      </c>
      <c r="B37" s="218">
        <f aca="true" t="shared" si="9" ref="B37:N37">SUM(B26:B36)</f>
        <v>0</v>
      </c>
      <c r="C37" s="218">
        <f t="shared" si="9"/>
        <v>0</v>
      </c>
      <c r="D37" s="218">
        <f t="shared" si="9"/>
        <v>4365.573366</v>
      </c>
      <c r="E37" s="218">
        <f t="shared" si="9"/>
        <v>4365.573366</v>
      </c>
      <c r="F37" s="218">
        <f t="shared" si="9"/>
        <v>4619.377686</v>
      </c>
      <c r="G37" s="218">
        <f t="shared" si="9"/>
        <v>4619.377686</v>
      </c>
      <c r="H37" s="218">
        <f t="shared" si="9"/>
        <v>4619.377686</v>
      </c>
      <c r="I37" s="218">
        <f t="shared" si="9"/>
        <v>4218.361686</v>
      </c>
      <c r="J37" s="218">
        <f t="shared" si="9"/>
        <v>4218.361686</v>
      </c>
      <c r="K37" s="218">
        <f t="shared" si="9"/>
        <v>2751.4192859999994</v>
      </c>
      <c r="L37" s="218">
        <f t="shared" si="9"/>
        <v>1832.3326560000003</v>
      </c>
      <c r="M37" s="218">
        <f t="shared" si="9"/>
        <v>628.767216</v>
      </c>
      <c r="N37" s="218">
        <f t="shared" si="9"/>
        <v>36238.522320000004</v>
      </c>
      <c r="Q37" s="197">
        <f t="shared" si="3"/>
        <v>0</v>
      </c>
      <c r="AY37" s="163"/>
    </row>
    <row r="38" ht="8.25" customHeight="1"/>
  </sheetData>
  <sheetProtection/>
  <mergeCells count="4">
    <mergeCell ref="A4:A5"/>
    <mergeCell ref="B4:E4"/>
    <mergeCell ref="F4:F5"/>
    <mergeCell ref="G4:G5"/>
  </mergeCells>
  <hyperlinks>
    <hyperlink ref="I5" r:id="rId1" display="http://www.slideshare.net/slavalist/ss-7485572"/>
  </hyperlinks>
  <printOptions/>
  <pageMargins left="0.23" right="0.2" top="0.45" bottom="0.38" header="0.2" footer="0.3"/>
  <pageSetup horizontalDpi="600" verticalDpi="600" orientation="landscape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outlinePr summaryBelow="0"/>
  </sheetPr>
  <dimension ref="A1:AJ15"/>
  <sheetViews>
    <sheetView showGridLines="0" showZeros="0" zoomScalePageLayoutView="0" workbookViewId="0" topLeftCell="A1">
      <pane xSplit="3" ySplit="4" topLeftCell="D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N9" sqref="N9"/>
    </sheetView>
  </sheetViews>
  <sheetFormatPr defaultColWidth="10.125" defaultRowHeight="12.75" outlineLevelCol="1"/>
  <cols>
    <col min="1" max="1" width="31.375" style="231" customWidth="1"/>
    <col min="2" max="2" width="11.375" style="231" customWidth="1"/>
    <col min="3" max="3" width="4.375" style="231" customWidth="1"/>
    <col min="4" max="10" width="6.25390625" style="231" hidden="1" customWidth="1" outlineLevel="1"/>
    <col min="11" max="12" width="9.00390625" style="231" hidden="1" customWidth="1" outlineLevel="1"/>
    <col min="13" max="14" width="8.625" style="231" hidden="1" customWidth="1" outlineLevel="1"/>
    <col min="15" max="15" width="8.875" style="231" hidden="1" customWidth="1" outlineLevel="1"/>
    <col min="16" max="16" width="9.125" style="231" customWidth="1" collapsed="1"/>
    <col min="17" max="28" width="8.375" style="231" hidden="1" customWidth="1" outlineLevel="1"/>
    <col min="29" max="29" width="9.125" style="231" customWidth="1" collapsed="1"/>
    <col min="30" max="35" width="9.125" style="231" customWidth="1"/>
    <col min="36" max="36" width="10.125" style="229" customWidth="1"/>
    <col min="37" max="16384" width="10.125" style="231" customWidth="1"/>
  </cols>
  <sheetData>
    <row r="1" spans="1:36" ht="12.75">
      <c r="A1" s="233" t="s">
        <v>230</v>
      </c>
      <c r="B1" s="230"/>
      <c r="C1" s="230"/>
      <c r="AJ1" s="231"/>
    </row>
    <row r="2" spans="1:36" ht="12.75">
      <c r="A2" s="233"/>
      <c r="B2" s="234" t="s">
        <v>202</v>
      </c>
      <c r="C2" s="232"/>
      <c r="AJ2" s="231"/>
    </row>
    <row r="3" spans="1:36" ht="12.75" customHeight="1">
      <c r="A3" s="333" t="s">
        <v>197</v>
      </c>
      <c r="B3" s="321" t="s">
        <v>86</v>
      </c>
      <c r="C3" s="119"/>
      <c r="D3" s="322">
        <v>2014</v>
      </c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>
        <v>2015</v>
      </c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120">
        <v>2016</v>
      </c>
      <c r="AE3" s="120">
        <f>AD3+1</f>
        <v>2017</v>
      </c>
      <c r="AF3" s="120">
        <f>AE3+1</f>
        <v>2018</v>
      </c>
      <c r="AG3" s="120">
        <f>AF3+1</f>
        <v>2019</v>
      </c>
      <c r="AH3" s="120">
        <f>AG3+1</f>
        <v>2020</v>
      </c>
      <c r="AI3" s="120">
        <f>AH3+1</f>
        <v>2021</v>
      </c>
      <c r="AJ3" s="231"/>
    </row>
    <row r="4" spans="1:36" ht="12.75">
      <c r="A4" s="334"/>
      <c r="B4" s="321"/>
      <c r="C4" s="121"/>
      <c r="D4" s="122">
        <f aca="true" t="shared" si="0" ref="D4:L4">C4+1</f>
        <v>1</v>
      </c>
      <c r="E4" s="122">
        <f t="shared" si="0"/>
        <v>2</v>
      </c>
      <c r="F4" s="122">
        <f t="shared" si="0"/>
        <v>3</v>
      </c>
      <c r="G4" s="122">
        <f t="shared" si="0"/>
        <v>4</v>
      </c>
      <c r="H4" s="122">
        <f t="shared" si="0"/>
        <v>5</v>
      </c>
      <c r="I4" s="122">
        <f t="shared" si="0"/>
        <v>6</v>
      </c>
      <c r="J4" s="122">
        <f t="shared" si="0"/>
        <v>7</v>
      </c>
      <c r="K4" s="122">
        <f t="shared" si="0"/>
        <v>8</v>
      </c>
      <c r="L4" s="122">
        <f t="shared" si="0"/>
        <v>9</v>
      </c>
      <c r="M4" s="122">
        <f>L4+1</f>
        <v>10</v>
      </c>
      <c r="N4" s="122">
        <f>M4+1</f>
        <v>11</v>
      </c>
      <c r="O4" s="122">
        <f>N4+1</f>
        <v>12</v>
      </c>
      <c r="P4" s="118" t="s">
        <v>0</v>
      </c>
      <c r="Q4" s="122">
        <v>1</v>
      </c>
      <c r="R4" s="122">
        <f aca="true" t="shared" si="1" ref="R4:AB4">Q4+1</f>
        <v>2</v>
      </c>
      <c r="S4" s="122">
        <f t="shared" si="1"/>
        <v>3</v>
      </c>
      <c r="T4" s="122">
        <f t="shared" si="1"/>
        <v>4</v>
      </c>
      <c r="U4" s="122">
        <f t="shared" si="1"/>
        <v>5</v>
      </c>
      <c r="V4" s="122">
        <f t="shared" si="1"/>
        <v>6</v>
      </c>
      <c r="W4" s="122">
        <f t="shared" si="1"/>
        <v>7</v>
      </c>
      <c r="X4" s="122">
        <f t="shared" si="1"/>
        <v>8</v>
      </c>
      <c r="Y4" s="122">
        <f t="shared" si="1"/>
        <v>9</v>
      </c>
      <c r="Z4" s="122">
        <f t="shared" si="1"/>
        <v>10</v>
      </c>
      <c r="AA4" s="122">
        <f t="shared" si="1"/>
        <v>11</v>
      </c>
      <c r="AB4" s="122">
        <f t="shared" si="1"/>
        <v>12</v>
      </c>
      <c r="AC4" s="118" t="s">
        <v>0</v>
      </c>
      <c r="AD4" s="118" t="s">
        <v>113</v>
      </c>
      <c r="AE4" s="118" t="s">
        <v>113</v>
      </c>
      <c r="AF4" s="118" t="s">
        <v>113</v>
      </c>
      <c r="AG4" s="118" t="s">
        <v>113</v>
      </c>
      <c r="AH4" s="118" t="s">
        <v>113</v>
      </c>
      <c r="AI4" s="118" t="s">
        <v>113</v>
      </c>
      <c r="AJ4" s="231"/>
    </row>
    <row r="5" ht="12.75">
      <c r="A5" s="233" t="s">
        <v>198</v>
      </c>
    </row>
    <row r="6" spans="1:36" ht="15" customHeight="1">
      <c r="A6" s="240" t="str">
        <f>Исх!A28</f>
        <v>Хлопок</v>
      </c>
      <c r="B6" s="124">
        <f>P6+AC6+AD6+AE6+AF6+AG6+AH6+AI6</f>
        <v>8624</v>
      </c>
      <c r="C6" s="124"/>
      <c r="D6" s="130"/>
      <c r="E6" s="130"/>
      <c r="F6" s="130"/>
      <c r="G6" s="130"/>
      <c r="H6" s="130"/>
      <c r="I6" s="130"/>
      <c r="J6" s="130"/>
      <c r="K6" s="130"/>
      <c r="L6" s="130">
        <f>Исх!$C$25*Исх!$C28/10*0.3</f>
        <v>323.4</v>
      </c>
      <c r="M6" s="130">
        <f>Исх!$C$25*Исх!$C28/10*0.7</f>
        <v>754.5999999999999</v>
      </c>
      <c r="N6" s="130"/>
      <c r="O6" s="130"/>
      <c r="P6" s="124">
        <f>SUM(D6:O6)</f>
        <v>1078</v>
      </c>
      <c r="Q6" s="130"/>
      <c r="R6" s="130"/>
      <c r="S6" s="130"/>
      <c r="T6" s="130"/>
      <c r="U6" s="130"/>
      <c r="V6" s="130"/>
      <c r="W6" s="130"/>
      <c r="X6" s="130"/>
      <c r="Y6" s="130">
        <f>Исх!$C$25*Исх!$C28/10*0.3</f>
        <v>323.4</v>
      </c>
      <c r="Z6" s="130">
        <f>Исх!$C$25*Исх!$C28/10*0.7</f>
        <v>754.5999999999999</v>
      </c>
      <c r="AA6" s="130"/>
      <c r="AB6" s="130"/>
      <c r="AC6" s="124">
        <f>SUM(Q6:AB6)</f>
        <v>1078</v>
      </c>
      <c r="AD6" s="130">
        <f aca="true" t="shared" si="2" ref="AD6:AI6">AC6</f>
        <v>1078</v>
      </c>
      <c r="AE6" s="130">
        <f t="shared" si="2"/>
        <v>1078</v>
      </c>
      <c r="AF6" s="130">
        <f t="shared" si="2"/>
        <v>1078</v>
      </c>
      <c r="AG6" s="130">
        <f t="shared" si="2"/>
        <v>1078</v>
      </c>
      <c r="AH6" s="130">
        <f t="shared" si="2"/>
        <v>1078</v>
      </c>
      <c r="AI6" s="130">
        <f t="shared" si="2"/>
        <v>1078</v>
      </c>
      <c r="AJ6" s="231"/>
    </row>
    <row r="7" ht="7.5" customHeight="1"/>
    <row r="8" ht="12.75">
      <c r="A8" s="233" t="s">
        <v>203</v>
      </c>
    </row>
    <row r="9" spans="1:36" ht="15" customHeight="1">
      <c r="A9" s="240" t="str">
        <f>A6</f>
        <v>Хлопок</v>
      </c>
      <c r="B9" s="124">
        <f>P9+AC9+AD9+AE9+AF9+AG9+AH9+AI9</f>
        <v>7369.2080000000005</v>
      </c>
      <c r="C9" s="124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>
        <f>$P$6/10</f>
        <v>107.8</v>
      </c>
      <c r="O9" s="130">
        <f>$P$6/10</f>
        <v>107.8</v>
      </c>
      <c r="P9" s="124">
        <f>SUM(D9:O9)</f>
        <v>215.6</v>
      </c>
      <c r="Q9" s="130">
        <f aca="true" t="shared" si="3" ref="Q9:W9">$P$6/10</f>
        <v>107.8</v>
      </c>
      <c r="R9" s="130">
        <f t="shared" si="3"/>
        <v>107.8</v>
      </c>
      <c r="S9" s="130">
        <f t="shared" si="3"/>
        <v>107.8</v>
      </c>
      <c r="T9" s="130">
        <f t="shared" si="3"/>
        <v>107.8</v>
      </c>
      <c r="U9" s="130">
        <f t="shared" si="3"/>
        <v>107.8</v>
      </c>
      <c r="V9" s="130">
        <f t="shared" si="3"/>
        <v>107.8</v>
      </c>
      <c r="W9" s="130">
        <f t="shared" si="3"/>
        <v>107.8</v>
      </c>
      <c r="X9" s="130"/>
      <c r="Y9" s="130"/>
      <c r="Z9" s="130"/>
      <c r="AA9" s="130">
        <f>N9</f>
        <v>107.8</v>
      </c>
      <c r="AB9" s="130">
        <f>O9</f>
        <v>107.8</v>
      </c>
      <c r="AC9" s="124">
        <f>SUM(Q9:AB9)</f>
        <v>970.1999999999998</v>
      </c>
      <c r="AD9" s="130">
        <f aca="true" t="shared" si="4" ref="AD9:AI9">AC6-AC12</f>
        <v>1030.568</v>
      </c>
      <c r="AE9" s="130">
        <f t="shared" si="4"/>
        <v>1030.568</v>
      </c>
      <c r="AF9" s="130">
        <f t="shared" si="4"/>
        <v>1030.568</v>
      </c>
      <c r="AG9" s="130">
        <f t="shared" si="4"/>
        <v>1030.568</v>
      </c>
      <c r="AH9" s="130">
        <f t="shared" si="4"/>
        <v>1030.568</v>
      </c>
      <c r="AI9" s="130">
        <f t="shared" si="4"/>
        <v>1030.568</v>
      </c>
      <c r="AJ9" s="231"/>
    </row>
    <row r="10" ht="9.75" customHeight="1"/>
    <row r="11" ht="12.75">
      <c r="A11" s="233" t="s">
        <v>229</v>
      </c>
    </row>
    <row r="12" spans="1:36" ht="15" customHeight="1">
      <c r="A12" s="240" t="str">
        <f>A9</f>
        <v>Хлопок</v>
      </c>
      <c r="B12" s="124">
        <f>P12+AC12+AD12+AE12+AF12+AG12+AH12+AI12</f>
        <v>379.4560000000001</v>
      </c>
      <c r="C12" s="124"/>
      <c r="D12" s="130"/>
      <c r="E12" s="130"/>
      <c r="F12" s="130"/>
      <c r="G12" s="130"/>
      <c r="H12" s="130"/>
      <c r="I12" s="130"/>
      <c r="J12" s="130"/>
      <c r="K12" s="130"/>
      <c r="L12" s="130"/>
      <c r="M12" s="130">
        <f>Исх!$C$25*Исх!$C$30/10</f>
        <v>47.432</v>
      </c>
      <c r="N12" s="130"/>
      <c r="O12" s="130"/>
      <c r="P12" s="124">
        <f>SUM(D12:O12)</f>
        <v>47.432</v>
      </c>
      <c r="Q12" s="130"/>
      <c r="R12" s="130"/>
      <c r="S12" s="130"/>
      <c r="T12" s="130"/>
      <c r="U12" s="130"/>
      <c r="V12" s="130"/>
      <c r="W12" s="130"/>
      <c r="X12" s="130"/>
      <c r="Y12" s="130"/>
      <c r="Z12" s="130">
        <f>Исх!$C$25*Исх!$C$30/10</f>
        <v>47.432</v>
      </c>
      <c r="AA12" s="130"/>
      <c r="AB12" s="130"/>
      <c r="AC12" s="124">
        <f>SUM(Q12:AB12)</f>
        <v>47.432</v>
      </c>
      <c r="AD12" s="130">
        <f aca="true" t="shared" si="5" ref="AD12:AI12">AC12</f>
        <v>47.432</v>
      </c>
      <c r="AE12" s="130">
        <f t="shared" si="5"/>
        <v>47.432</v>
      </c>
      <c r="AF12" s="130">
        <f t="shared" si="5"/>
        <v>47.432</v>
      </c>
      <c r="AG12" s="130">
        <f t="shared" si="5"/>
        <v>47.432</v>
      </c>
      <c r="AH12" s="130">
        <f t="shared" si="5"/>
        <v>47.432</v>
      </c>
      <c r="AI12" s="130">
        <f t="shared" si="5"/>
        <v>47.432</v>
      </c>
      <c r="AJ12" s="231"/>
    </row>
    <row r="13" ht="7.5" customHeight="1"/>
    <row r="14" ht="12.75">
      <c r="A14" s="233" t="s">
        <v>204</v>
      </c>
    </row>
    <row r="15" spans="1:36" ht="15" customHeight="1">
      <c r="A15" s="240" t="str">
        <f>A12</f>
        <v>Хлопок</v>
      </c>
      <c r="B15" s="124">
        <f>AI15</f>
        <v>875.336</v>
      </c>
      <c r="C15" s="124"/>
      <c r="D15" s="130">
        <f aca="true" t="shared" si="6" ref="D15:O15">C15+D6-D9-D12</f>
        <v>0</v>
      </c>
      <c r="E15" s="130">
        <f t="shared" si="6"/>
        <v>0</v>
      </c>
      <c r="F15" s="130">
        <f t="shared" si="6"/>
        <v>0</v>
      </c>
      <c r="G15" s="130">
        <f t="shared" si="6"/>
        <v>0</v>
      </c>
      <c r="H15" s="130">
        <f t="shared" si="6"/>
        <v>0</v>
      </c>
      <c r="I15" s="130">
        <f t="shared" si="6"/>
        <v>0</v>
      </c>
      <c r="J15" s="130">
        <f t="shared" si="6"/>
        <v>0</v>
      </c>
      <c r="K15" s="130">
        <f t="shared" si="6"/>
        <v>0</v>
      </c>
      <c r="L15" s="130">
        <f t="shared" si="6"/>
        <v>323.4</v>
      </c>
      <c r="M15" s="130">
        <f t="shared" si="6"/>
        <v>1030.568</v>
      </c>
      <c r="N15" s="130">
        <f t="shared" si="6"/>
        <v>922.768</v>
      </c>
      <c r="O15" s="130">
        <f t="shared" si="6"/>
        <v>814.9680000000001</v>
      </c>
      <c r="P15" s="124">
        <f>O15</f>
        <v>814.9680000000001</v>
      </c>
      <c r="Q15" s="130">
        <f aca="true" t="shared" si="7" ref="Q15:AB15">P15+Q6-Q9-Q12</f>
        <v>707.1680000000001</v>
      </c>
      <c r="R15" s="130">
        <f t="shared" si="7"/>
        <v>599.3680000000002</v>
      </c>
      <c r="S15" s="130">
        <f t="shared" si="7"/>
        <v>491.56800000000015</v>
      </c>
      <c r="T15" s="130">
        <f t="shared" si="7"/>
        <v>383.76800000000014</v>
      </c>
      <c r="U15" s="130">
        <f t="shared" si="7"/>
        <v>275.96800000000013</v>
      </c>
      <c r="V15" s="130">
        <f t="shared" si="7"/>
        <v>168.16800000000012</v>
      </c>
      <c r="W15" s="130">
        <f t="shared" si="7"/>
        <v>60.36800000000012</v>
      </c>
      <c r="X15" s="130">
        <f t="shared" si="7"/>
        <v>60.36800000000012</v>
      </c>
      <c r="Y15" s="130">
        <f t="shared" si="7"/>
        <v>383.7680000000001</v>
      </c>
      <c r="Z15" s="130">
        <f t="shared" si="7"/>
        <v>1090.936</v>
      </c>
      <c r="AA15" s="130">
        <f t="shared" si="7"/>
        <v>983.136</v>
      </c>
      <c r="AB15" s="130">
        <f t="shared" si="7"/>
        <v>875.336</v>
      </c>
      <c r="AC15" s="124">
        <f>AB15</f>
        <v>875.336</v>
      </c>
      <c r="AD15" s="130">
        <f aca="true" t="shared" si="8" ref="AD15:AI15">AC15+AD6-AD9-AD12</f>
        <v>875.336</v>
      </c>
      <c r="AE15" s="130">
        <f t="shared" si="8"/>
        <v>875.336</v>
      </c>
      <c r="AF15" s="130">
        <f t="shared" si="8"/>
        <v>875.336</v>
      </c>
      <c r="AG15" s="130">
        <f t="shared" si="8"/>
        <v>875.336</v>
      </c>
      <c r="AH15" s="130">
        <f t="shared" si="8"/>
        <v>875.336</v>
      </c>
      <c r="AI15" s="130">
        <f t="shared" si="8"/>
        <v>875.336</v>
      </c>
      <c r="AJ15" s="231"/>
    </row>
  </sheetData>
  <sheetProtection/>
  <mergeCells count="4">
    <mergeCell ref="A3:A4"/>
    <mergeCell ref="B3:B4"/>
    <mergeCell ref="D3:P3"/>
    <mergeCell ref="Q3:AC3"/>
  </mergeCells>
  <printOptions/>
  <pageMargins left="0.35433070866141736" right="0.2362204724409449" top="0.8267716535433072" bottom="0.2362204724409449" header="0.35433070866141736" footer="0.1574803149606299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2:M30"/>
  <sheetViews>
    <sheetView showGridLines="0" zoomScalePageLayoutView="0" workbookViewId="0" topLeftCell="A1">
      <pane xSplit="1" ySplit="4" topLeftCell="B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G27" sqref="G27"/>
    </sheetView>
  </sheetViews>
  <sheetFormatPr defaultColWidth="9.00390625" defaultRowHeight="12.75"/>
  <cols>
    <col min="1" max="1" width="5.625" style="71" customWidth="1"/>
    <col min="2" max="2" width="33.375" style="71" customWidth="1"/>
    <col min="3" max="3" width="10.00390625" style="71" customWidth="1"/>
    <col min="4" max="4" width="11.625" style="71" customWidth="1"/>
    <col min="5" max="5" width="12.75390625" style="71" customWidth="1"/>
    <col min="6" max="8" width="11.625" style="71" customWidth="1"/>
    <col min="9" max="9" width="11.625" style="71" hidden="1" customWidth="1"/>
    <col min="10" max="10" width="10.125" style="71" customWidth="1"/>
    <col min="11" max="11" width="12.00390625" style="71" customWidth="1"/>
    <col min="12" max="16384" width="9.125" style="71" customWidth="1"/>
  </cols>
  <sheetData>
    <row r="1" ht="5.25" customHeight="1"/>
    <row r="2" spans="1:11" ht="16.5" customHeight="1">
      <c r="A2" s="61" t="s">
        <v>146</v>
      </c>
      <c r="D2" s="160"/>
      <c r="E2" s="160"/>
      <c r="F2" s="160"/>
      <c r="G2" s="160"/>
      <c r="H2" s="160"/>
      <c r="I2" s="160"/>
      <c r="J2" s="160"/>
      <c r="K2" s="215" t="str">
        <f>Исх!C9</f>
        <v>тыс.тг.</v>
      </c>
    </row>
    <row r="3" spans="1:11" ht="8.25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3" ht="42" customHeight="1">
      <c r="A4" s="269" t="s">
        <v>33</v>
      </c>
      <c r="B4" s="223" t="s">
        <v>34</v>
      </c>
      <c r="C4" s="223" t="s">
        <v>35</v>
      </c>
      <c r="D4" s="146" t="s">
        <v>93</v>
      </c>
      <c r="E4" s="146" t="s">
        <v>94</v>
      </c>
      <c r="F4" s="146" t="s">
        <v>45</v>
      </c>
      <c r="G4" s="146" t="s">
        <v>46</v>
      </c>
      <c r="H4" s="146" t="s">
        <v>47</v>
      </c>
      <c r="I4" s="146" t="s">
        <v>48</v>
      </c>
      <c r="J4" s="146" t="s">
        <v>49</v>
      </c>
      <c r="K4" s="146" t="s">
        <v>42</v>
      </c>
      <c r="M4" s="241">
        <f>'1-Ф3'!B2</f>
        <v>0</v>
      </c>
    </row>
    <row r="5" spans="1:11" s="61" customFormat="1" ht="12.75">
      <c r="A5" s="140"/>
      <c r="B5" s="147" t="s">
        <v>92</v>
      </c>
      <c r="C5" s="140"/>
      <c r="D5" s="140"/>
      <c r="E5" s="140"/>
      <c r="F5" s="140"/>
      <c r="G5" s="140"/>
      <c r="H5" s="140"/>
      <c r="I5" s="140"/>
      <c r="J5" s="140"/>
      <c r="K5" s="140"/>
    </row>
    <row r="6" spans="1:11" ht="12.75">
      <c r="A6" s="74">
        <v>1</v>
      </c>
      <c r="B6" s="74" t="s">
        <v>262</v>
      </c>
      <c r="C6" s="74">
        <v>1</v>
      </c>
      <c r="D6" s="142">
        <v>50</v>
      </c>
      <c r="E6" s="148">
        <f>C6*D6</f>
        <v>50</v>
      </c>
      <c r="F6" s="148">
        <f>E6*$C$25</f>
        <v>5</v>
      </c>
      <c r="G6" s="148">
        <f>(E6-$C$29*C6-F6)*$C$27</f>
        <v>2.6340000000000003</v>
      </c>
      <c r="H6" s="148">
        <f>(E6-F6)*$C$26</f>
        <v>2.25</v>
      </c>
      <c r="I6" s="148">
        <f>(E6-F6)*$C$28-H6*0</f>
        <v>0</v>
      </c>
      <c r="J6" s="148">
        <f>E6-F6-G6</f>
        <v>42.366</v>
      </c>
      <c r="K6" s="149">
        <f>SUM(F6:J6)</f>
        <v>52.25</v>
      </c>
    </row>
    <row r="7" spans="1:11" ht="12.75">
      <c r="A7" s="74">
        <v>2</v>
      </c>
      <c r="B7" s="74" t="s">
        <v>263</v>
      </c>
      <c r="C7" s="74">
        <v>1</v>
      </c>
      <c r="D7" s="142">
        <v>40</v>
      </c>
      <c r="E7" s="148">
        <f>C7*D7</f>
        <v>40</v>
      </c>
      <c r="F7" s="148">
        <f>E7*$C$25</f>
        <v>4</v>
      </c>
      <c r="G7" s="148">
        <f>(E7-$C$29*C7-F7)*$C$27</f>
        <v>1.734</v>
      </c>
      <c r="H7" s="148">
        <f>(E7-F7)*$C$26</f>
        <v>1.8</v>
      </c>
      <c r="I7" s="148">
        <f>(E7-F7)*$C$28-H7*0</f>
        <v>0</v>
      </c>
      <c r="J7" s="148">
        <f>E7-F7-G7</f>
        <v>34.266</v>
      </c>
      <c r="K7" s="149">
        <f>SUM(F7:J7)</f>
        <v>41.8</v>
      </c>
    </row>
    <row r="8" spans="1:11" s="61" customFormat="1" ht="12.75">
      <c r="A8" s="150"/>
      <c r="B8" s="150" t="s">
        <v>0</v>
      </c>
      <c r="C8" s="31">
        <f aca="true" t="shared" si="0" ref="C8:K8">SUM(C6:C7)</f>
        <v>2</v>
      </c>
      <c r="D8" s="31">
        <f t="shared" si="0"/>
        <v>90</v>
      </c>
      <c r="E8" s="31">
        <f t="shared" si="0"/>
        <v>90</v>
      </c>
      <c r="F8" s="31">
        <f t="shared" si="0"/>
        <v>9</v>
      </c>
      <c r="G8" s="31">
        <f t="shared" si="0"/>
        <v>4.368</v>
      </c>
      <c r="H8" s="31">
        <f t="shared" si="0"/>
        <v>4.05</v>
      </c>
      <c r="I8" s="31">
        <f t="shared" si="0"/>
        <v>0</v>
      </c>
      <c r="J8" s="31">
        <f t="shared" si="0"/>
        <v>76.632</v>
      </c>
      <c r="K8" s="31">
        <f t="shared" si="0"/>
        <v>94.05</v>
      </c>
    </row>
    <row r="9" spans="1:11" s="61" customFormat="1" ht="12.75">
      <c r="A9" s="140"/>
      <c r="B9" s="140" t="s">
        <v>99</v>
      </c>
      <c r="C9" s="140"/>
      <c r="D9" s="141"/>
      <c r="E9" s="141"/>
      <c r="F9" s="141"/>
      <c r="G9" s="141"/>
      <c r="H9" s="141"/>
      <c r="I9" s="141"/>
      <c r="J9" s="141"/>
      <c r="K9" s="141"/>
    </row>
    <row r="10" spans="1:12" ht="12.75">
      <c r="A10" s="74">
        <v>1</v>
      </c>
      <c r="B10" s="74" t="s">
        <v>231</v>
      </c>
      <c r="C10" s="74">
        <v>6</v>
      </c>
      <c r="D10" s="142"/>
      <c r="E10" s="148">
        <f>C10*D10</f>
        <v>0</v>
      </c>
      <c r="F10" s="148">
        <f>E10*$C$25</f>
        <v>0</v>
      </c>
      <c r="G10" s="148">
        <f>(E10-$C$29*C10-F10)*$C$27*0</f>
        <v>0</v>
      </c>
      <c r="H10" s="148">
        <f>(E10-F10)*$C$26</f>
        <v>0</v>
      </c>
      <c r="I10" s="148">
        <f>(E10-F10)*$C$28-H10*0</f>
        <v>0</v>
      </c>
      <c r="J10" s="148">
        <f>E10-F10-G10</f>
        <v>0</v>
      </c>
      <c r="K10" s="149">
        <f>SUM(F10:J10)</f>
        <v>0</v>
      </c>
      <c r="L10" s="71" t="s">
        <v>272</v>
      </c>
    </row>
    <row r="11" spans="1:11" ht="12.75">
      <c r="A11" s="74">
        <v>2</v>
      </c>
      <c r="B11" s="74" t="s">
        <v>313</v>
      </c>
      <c r="C11" s="148">
        <v>4</v>
      </c>
      <c r="D11" s="142"/>
      <c r="E11" s="148">
        <f>C11*D11</f>
        <v>0</v>
      </c>
      <c r="F11" s="148">
        <f>E11*$C$25</f>
        <v>0</v>
      </c>
      <c r="G11" s="148">
        <f>(E11-$C$29*C11-F11)*$C$27*0</f>
        <v>0</v>
      </c>
      <c r="H11" s="148">
        <f>(E11-F11)*$C$26</f>
        <v>0</v>
      </c>
      <c r="I11" s="148">
        <f>(E11-F11)*$C$28-H11*0</f>
        <v>0</v>
      </c>
      <c r="J11" s="148">
        <f>E11-F11-G11</f>
        <v>0</v>
      </c>
      <c r="K11" s="149">
        <f>SUM(F11:J11)</f>
        <v>0</v>
      </c>
    </row>
    <row r="12" spans="1:11" ht="12.75">
      <c r="A12" s="74"/>
      <c r="B12" s="74"/>
      <c r="C12" s="148"/>
      <c r="D12" s="142"/>
      <c r="E12" s="148">
        <f>C12*D12</f>
        <v>0</v>
      </c>
      <c r="F12" s="148">
        <f>E12*$C$25</f>
        <v>0</v>
      </c>
      <c r="G12" s="148">
        <f>(E12-$C$29*C12-F12)*$C$27*0</f>
        <v>0</v>
      </c>
      <c r="H12" s="148">
        <f>(E12-F12)*$C$26</f>
        <v>0</v>
      </c>
      <c r="I12" s="148">
        <f>(E12-F12)*$C$28-H12*0</f>
        <v>0</v>
      </c>
      <c r="J12" s="148">
        <f>E12-F12-G12</f>
        <v>0</v>
      </c>
      <c r="K12" s="149">
        <f>SUM(F12:J12)</f>
        <v>0</v>
      </c>
    </row>
    <row r="13" spans="1:11" s="61" customFormat="1" ht="12.75">
      <c r="A13" s="150"/>
      <c r="B13" s="151" t="s">
        <v>0</v>
      </c>
      <c r="C13" s="150">
        <f aca="true" t="shared" si="1" ref="C13:K13">SUM(C9:C12)</f>
        <v>10</v>
      </c>
      <c r="D13" s="149">
        <f t="shared" si="1"/>
        <v>0</v>
      </c>
      <c r="E13" s="149">
        <f t="shared" si="1"/>
        <v>0</v>
      </c>
      <c r="F13" s="149">
        <f t="shared" si="1"/>
        <v>0</v>
      </c>
      <c r="G13" s="149">
        <f t="shared" si="1"/>
        <v>0</v>
      </c>
      <c r="H13" s="149">
        <f t="shared" si="1"/>
        <v>0</v>
      </c>
      <c r="I13" s="149">
        <f t="shared" si="1"/>
        <v>0</v>
      </c>
      <c r="J13" s="149">
        <f t="shared" si="1"/>
        <v>0</v>
      </c>
      <c r="K13" s="149">
        <f t="shared" si="1"/>
        <v>0</v>
      </c>
    </row>
    <row r="14" spans="1:12" s="61" customFormat="1" ht="12.75">
      <c r="A14" s="140"/>
      <c r="B14" s="140" t="s">
        <v>100</v>
      </c>
      <c r="C14" s="140"/>
      <c r="D14" s="141"/>
      <c r="E14" s="141"/>
      <c r="F14" s="141"/>
      <c r="G14" s="141"/>
      <c r="H14" s="141"/>
      <c r="I14" s="141"/>
      <c r="J14" s="141"/>
      <c r="K14" s="141"/>
      <c r="L14" s="71" t="s">
        <v>272</v>
      </c>
    </row>
    <row r="15" spans="1:11" ht="12.75">
      <c r="A15" s="74">
        <v>1</v>
      </c>
      <c r="B15" s="74" t="s">
        <v>232</v>
      </c>
      <c r="C15" s="74">
        <v>2</v>
      </c>
      <c r="D15" s="142"/>
      <c r="E15" s="148">
        <f>C15*D15</f>
        <v>0</v>
      </c>
      <c r="F15" s="148">
        <f>E15*$C$25</f>
        <v>0</v>
      </c>
      <c r="G15" s="148">
        <f>(E15-$C$29*C15-F15)*$C$27*0</f>
        <v>0</v>
      </c>
      <c r="H15" s="148">
        <f>(E15-F15)*$C$26</f>
        <v>0</v>
      </c>
      <c r="I15" s="148">
        <f>(E15-F15)*$C$28-H15*0</f>
        <v>0</v>
      </c>
      <c r="J15" s="148">
        <f>E15-F15-G15</f>
        <v>0</v>
      </c>
      <c r="K15" s="149">
        <f>SUM(F15:J15)</f>
        <v>0</v>
      </c>
    </row>
    <row r="16" spans="1:11" ht="12.75">
      <c r="A16" s="74"/>
      <c r="B16" s="74"/>
      <c r="C16" s="148"/>
      <c r="D16" s="142"/>
      <c r="E16" s="148">
        <f>C16*D16</f>
        <v>0</v>
      </c>
      <c r="F16" s="148">
        <f>E16*$C$25</f>
        <v>0</v>
      </c>
      <c r="G16" s="148">
        <f>(E16-$C$29*C16-F16)*$C$27*0</f>
        <v>0</v>
      </c>
      <c r="H16" s="148">
        <f>(E16-F16)*$C$26</f>
        <v>0</v>
      </c>
      <c r="I16" s="148">
        <f>(E16-F16)*$C$28-H16*0</f>
        <v>0</v>
      </c>
      <c r="J16" s="148">
        <f>E16-F16-G16</f>
        <v>0</v>
      </c>
      <c r="K16" s="149">
        <f>SUM(F16:J16)</f>
        <v>0</v>
      </c>
    </row>
    <row r="17" spans="1:11" s="61" customFormat="1" ht="12.75">
      <c r="A17" s="150"/>
      <c r="B17" s="151" t="s">
        <v>0</v>
      </c>
      <c r="C17" s="150">
        <f aca="true" t="shared" si="2" ref="C17:K17">SUM(C15:C16)</f>
        <v>2</v>
      </c>
      <c r="D17" s="149">
        <f t="shared" si="2"/>
        <v>0</v>
      </c>
      <c r="E17" s="149">
        <f t="shared" si="2"/>
        <v>0</v>
      </c>
      <c r="F17" s="149">
        <f t="shared" si="2"/>
        <v>0</v>
      </c>
      <c r="G17" s="149">
        <f t="shared" si="2"/>
        <v>0</v>
      </c>
      <c r="H17" s="149">
        <f t="shared" si="2"/>
        <v>0</v>
      </c>
      <c r="I17" s="149">
        <f t="shared" si="2"/>
        <v>0</v>
      </c>
      <c r="J17" s="149">
        <f t="shared" si="2"/>
        <v>0</v>
      </c>
      <c r="K17" s="149">
        <f t="shared" si="2"/>
        <v>0</v>
      </c>
    </row>
    <row r="18" spans="1:11" s="61" customFormat="1" ht="12.75">
      <c r="A18" s="140"/>
      <c r="B18" s="140" t="s">
        <v>108</v>
      </c>
      <c r="C18" s="140"/>
      <c r="D18" s="141"/>
      <c r="E18" s="141"/>
      <c r="F18" s="141"/>
      <c r="G18" s="141"/>
      <c r="H18" s="141"/>
      <c r="I18" s="141"/>
      <c r="J18" s="141"/>
      <c r="K18" s="141"/>
    </row>
    <row r="19" spans="1:13" ht="12.75">
      <c r="A19" s="74">
        <v>1</v>
      </c>
      <c r="B19" s="74" t="s">
        <v>261</v>
      </c>
      <c r="C19" s="74">
        <v>8</v>
      </c>
      <c r="D19" s="142"/>
      <c r="E19" s="148">
        <f>C19*D19</f>
        <v>0</v>
      </c>
      <c r="F19" s="148">
        <f>E19*$C$25</f>
        <v>0</v>
      </c>
      <c r="G19" s="148">
        <f>(E19-$C$29*C19-F19)*$C$27*0</f>
        <v>0</v>
      </c>
      <c r="H19" s="148">
        <f>(E19-F19)*$C$26</f>
        <v>0</v>
      </c>
      <c r="I19" s="148">
        <f>(E19-F19)*$C$28-H19*0</f>
        <v>0</v>
      </c>
      <c r="J19" s="148">
        <f>E19-F19-G19</f>
        <v>0</v>
      </c>
      <c r="K19" s="149">
        <f>SUM(F19:J19)</f>
        <v>0</v>
      </c>
      <c r="L19" s="71" t="s">
        <v>272</v>
      </c>
      <c r="M19" s="152"/>
    </row>
    <row r="20" spans="1:11" ht="12.75">
      <c r="A20" s="74"/>
      <c r="B20" s="74"/>
      <c r="C20" s="148"/>
      <c r="D20" s="142"/>
      <c r="E20" s="148">
        <f>C20*D20</f>
        <v>0</v>
      </c>
      <c r="F20" s="148">
        <f>E20*$C$25</f>
        <v>0</v>
      </c>
      <c r="G20" s="148">
        <f>(E20-$C$29*C20-F20)*$C$27*0</f>
        <v>0</v>
      </c>
      <c r="H20" s="148">
        <f>(E20-F20)*$C$26</f>
        <v>0</v>
      </c>
      <c r="I20" s="148">
        <f>(E20-F20)*$C$28-H20*0</f>
        <v>0</v>
      </c>
      <c r="J20" s="148">
        <f>E20-F20-G20</f>
        <v>0</v>
      </c>
      <c r="K20" s="149">
        <f>SUM(F20:J20)</f>
        <v>0</v>
      </c>
    </row>
    <row r="21" spans="1:11" s="61" customFormat="1" ht="12.75">
      <c r="A21" s="150"/>
      <c r="B21" s="151" t="s">
        <v>0</v>
      </c>
      <c r="C21" s="150">
        <f aca="true" t="shared" si="3" ref="C21:K21">SUM(C19:C20)</f>
        <v>8</v>
      </c>
      <c r="D21" s="149">
        <f t="shared" si="3"/>
        <v>0</v>
      </c>
      <c r="E21" s="149">
        <f t="shared" si="3"/>
        <v>0</v>
      </c>
      <c r="F21" s="149">
        <f t="shared" si="3"/>
        <v>0</v>
      </c>
      <c r="G21" s="149">
        <f t="shared" si="3"/>
        <v>0</v>
      </c>
      <c r="H21" s="149">
        <f t="shared" si="3"/>
        <v>0</v>
      </c>
      <c r="I21" s="149">
        <f t="shared" si="3"/>
        <v>0</v>
      </c>
      <c r="J21" s="149">
        <f t="shared" si="3"/>
        <v>0</v>
      </c>
      <c r="K21" s="149">
        <f t="shared" si="3"/>
        <v>0</v>
      </c>
    </row>
    <row r="22" spans="1:11" ht="12.75" hidden="1">
      <c r="A22" s="74"/>
      <c r="B22" s="74"/>
      <c r="C22" s="74"/>
      <c r="D22" s="148"/>
      <c r="E22" s="148"/>
      <c r="F22" s="148"/>
      <c r="G22" s="148"/>
      <c r="H22" s="148"/>
      <c r="I22" s="148"/>
      <c r="J22" s="148"/>
      <c r="K22" s="148"/>
    </row>
    <row r="23" spans="1:11" s="61" customFormat="1" ht="12.75">
      <c r="A23" s="150"/>
      <c r="B23" s="150" t="s">
        <v>109</v>
      </c>
      <c r="C23" s="149">
        <f aca="true" t="shared" si="4" ref="C23:K23">C8+C13+C17+C21</f>
        <v>22</v>
      </c>
      <c r="D23" s="149">
        <f t="shared" si="4"/>
        <v>90</v>
      </c>
      <c r="E23" s="149">
        <f t="shared" si="4"/>
        <v>90</v>
      </c>
      <c r="F23" s="149">
        <f t="shared" si="4"/>
        <v>9</v>
      </c>
      <c r="G23" s="149">
        <f t="shared" si="4"/>
        <v>4.368</v>
      </c>
      <c r="H23" s="149">
        <f t="shared" si="4"/>
        <v>4.05</v>
      </c>
      <c r="I23" s="149">
        <f t="shared" si="4"/>
        <v>0</v>
      </c>
      <c r="J23" s="149">
        <f t="shared" si="4"/>
        <v>76.632</v>
      </c>
      <c r="K23" s="153">
        <f t="shared" si="4"/>
        <v>94.05</v>
      </c>
    </row>
    <row r="25" spans="2:10" ht="12.75">
      <c r="B25" s="74" t="s">
        <v>45</v>
      </c>
      <c r="C25" s="154">
        <f>Исх!C11</f>
        <v>0.1</v>
      </c>
      <c r="D25" s="155"/>
      <c r="E25" s="155"/>
      <c r="F25" s="155"/>
      <c r="G25" s="335"/>
      <c r="H25" s="335"/>
      <c r="I25" s="335"/>
      <c r="J25" s="335"/>
    </row>
    <row r="26" spans="2:10" ht="12.75">
      <c r="B26" s="74" t="s">
        <v>50</v>
      </c>
      <c r="C26" s="154">
        <f>Исх!C12</f>
        <v>0.05</v>
      </c>
      <c r="D26" s="155"/>
      <c r="E26" s="155"/>
      <c r="F26" s="155"/>
      <c r="G26" s="155"/>
      <c r="H26" s="155"/>
      <c r="I26" s="156"/>
      <c r="J26" s="157"/>
    </row>
    <row r="27" spans="2:10" ht="12.75">
      <c r="B27" s="74" t="s">
        <v>46</v>
      </c>
      <c r="C27" s="154">
        <f>Исх!C13</f>
        <v>0.1</v>
      </c>
      <c r="D27" s="155"/>
      <c r="E27" s="155"/>
      <c r="F27" s="155"/>
      <c r="G27" s="155"/>
      <c r="H27" s="155"/>
      <c r="I27" s="156"/>
      <c r="J27" s="157"/>
    </row>
    <row r="28" spans="2:10" ht="12.75">
      <c r="B28" s="74" t="s">
        <v>48</v>
      </c>
      <c r="C28" s="154">
        <f>Исх!C14</f>
        <v>0</v>
      </c>
      <c r="D28" s="158"/>
      <c r="E28" s="158"/>
      <c r="F28" s="155"/>
      <c r="G28" s="155"/>
      <c r="H28" s="155"/>
      <c r="I28" s="156"/>
      <c r="J28" s="157"/>
    </row>
    <row r="29" spans="2:3" ht="12.75">
      <c r="B29" s="74" t="s">
        <v>114</v>
      </c>
      <c r="C29" s="159">
        <f>Исх!C15</f>
        <v>18.66</v>
      </c>
    </row>
    <row r="30" spans="7:10" ht="12.75">
      <c r="G30" s="155"/>
      <c r="H30" s="155"/>
      <c r="I30" s="156"/>
      <c r="J30" s="157"/>
    </row>
  </sheetData>
  <sheetProtection/>
  <mergeCells count="1">
    <mergeCell ref="G25:J25"/>
  </mergeCells>
  <printOptions/>
  <pageMargins left="0.2755905511811024" right="0.2755905511811024" top="0.35433070866141736" bottom="0.35433070866141736" header="0.2362204724409449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V48"/>
  <sheetViews>
    <sheetView showGridLines="0" zoomScalePageLayoutView="0" workbookViewId="0" topLeftCell="A1">
      <pane ySplit="5" topLeftCell="A6" activePane="bottomLeft" state="frozen"/>
      <selection pane="topLeft" activeCell="A34" sqref="A34"/>
      <selection pane="bottomLeft" activeCell="A13" sqref="A13:IV13"/>
    </sheetView>
  </sheetViews>
  <sheetFormatPr defaultColWidth="8.875" defaultRowHeight="12.75" outlineLevelRow="1"/>
  <cols>
    <col min="1" max="1" width="34.25390625" style="71" customWidth="1"/>
    <col min="2" max="2" width="13.125" style="71" customWidth="1"/>
    <col min="3" max="3" width="12.25390625" style="71" customWidth="1"/>
    <col min="4" max="7" width="10.75390625" style="71" customWidth="1"/>
    <col min="8" max="10" width="8.875" style="71" customWidth="1"/>
    <col min="11" max="11" width="5.625" style="71" customWidth="1"/>
    <col min="12" max="12" width="34.25390625" style="71" customWidth="1"/>
    <col min="13" max="13" width="13.125" style="71" customWidth="1"/>
    <col min="14" max="14" width="12.25390625" style="71" customWidth="1"/>
    <col min="15" max="18" width="10.75390625" style="71" customWidth="1"/>
    <col min="19" max="16384" width="8.875" style="71" customWidth="1"/>
  </cols>
  <sheetData>
    <row r="1" spans="1:12" ht="12.75">
      <c r="A1" s="61" t="s">
        <v>150</v>
      </c>
      <c r="L1" s="61" t="s">
        <v>292</v>
      </c>
    </row>
    <row r="2" spans="1:12" ht="12.75">
      <c r="A2" s="61"/>
      <c r="L2" s="61"/>
    </row>
    <row r="3" spans="1:22" ht="12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3:21" ht="12.75">
      <c r="C4" s="137"/>
      <c r="D4" s="137"/>
      <c r="E4" s="137"/>
      <c r="F4" s="137"/>
      <c r="G4" s="137"/>
      <c r="H4" s="137"/>
      <c r="J4" s="144" t="str">
        <f>Исх!C9</f>
        <v>тыс.тг.</v>
      </c>
      <c r="N4" s="137"/>
      <c r="O4" s="137"/>
      <c r="P4" s="137"/>
      <c r="Q4" s="137"/>
      <c r="R4" s="137"/>
      <c r="S4" s="137"/>
      <c r="U4" s="144" t="str">
        <f>J4</f>
        <v>тыс.тг.</v>
      </c>
    </row>
    <row r="5" spans="1:21" ht="12.75">
      <c r="A5" s="217" t="s">
        <v>41</v>
      </c>
      <c r="B5" s="226"/>
      <c r="C5" s="226">
        <v>2014</v>
      </c>
      <c r="D5" s="226">
        <f aca="true" t="shared" si="0" ref="D5:J5">C5+1</f>
        <v>2015</v>
      </c>
      <c r="E5" s="226">
        <f t="shared" si="0"/>
        <v>2016</v>
      </c>
      <c r="F5" s="226">
        <f t="shared" si="0"/>
        <v>2017</v>
      </c>
      <c r="G5" s="226">
        <f t="shared" si="0"/>
        <v>2018</v>
      </c>
      <c r="H5" s="226">
        <f t="shared" si="0"/>
        <v>2019</v>
      </c>
      <c r="I5" s="226">
        <f t="shared" si="0"/>
        <v>2020</v>
      </c>
      <c r="J5" s="226">
        <f t="shared" si="0"/>
        <v>2021</v>
      </c>
      <c r="L5" s="217" t="s">
        <v>41</v>
      </c>
      <c r="M5" s="226"/>
      <c r="N5" s="226">
        <f>C5</f>
        <v>2014</v>
      </c>
      <c r="O5" s="226">
        <f aca="true" t="shared" si="1" ref="O5:U5">D5</f>
        <v>2015</v>
      </c>
      <c r="P5" s="226">
        <f t="shared" si="1"/>
        <v>2016</v>
      </c>
      <c r="Q5" s="226">
        <f t="shared" si="1"/>
        <v>2017</v>
      </c>
      <c r="R5" s="226">
        <f t="shared" si="1"/>
        <v>2018</v>
      </c>
      <c r="S5" s="226">
        <f t="shared" si="1"/>
        <v>2019</v>
      </c>
      <c r="T5" s="226">
        <f t="shared" si="1"/>
        <v>2020</v>
      </c>
      <c r="U5" s="226">
        <f t="shared" si="1"/>
        <v>2021</v>
      </c>
    </row>
    <row r="6" spans="1:21" ht="12.75">
      <c r="A6" s="74" t="s">
        <v>42</v>
      </c>
      <c r="B6" s="143"/>
      <c r="C6" s="148">
        <f>ФОТ!K23</f>
        <v>94.05</v>
      </c>
      <c r="D6" s="148">
        <f aca="true" t="shared" si="2" ref="D6:J6">C6</f>
        <v>94.05</v>
      </c>
      <c r="E6" s="148">
        <f t="shared" si="2"/>
        <v>94.05</v>
      </c>
      <c r="F6" s="148">
        <f t="shared" si="2"/>
        <v>94.05</v>
      </c>
      <c r="G6" s="148">
        <f t="shared" si="2"/>
        <v>94.05</v>
      </c>
      <c r="H6" s="148">
        <f t="shared" si="2"/>
        <v>94.05</v>
      </c>
      <c r="I6" s="148">
        <f t="shared" si="2"/>
        <v>94.05</v>
      </c>
      <c r="J6" s="148">
        <f t="shared" si="2"/>
        <v>94.05</v>
      </c>
      <c r="L6" s="74" t="s">
        <v>42</v>
      </c>
      <c r="M6" s="143"/>
      <c r="N6" s="148">
        <f>C6*10</f>
        <v>940.5</v>
      </c>
      <c r="O6" s="148">
        <f>D6*12</f>
        <v>1128.6</v>
      </c>
      <c r="P6" s="148">
        <f aca="true" t="shared" si="3" ref="P6:U13">E6*12</f>
        <v>1128.6</v>
      </c>
      <c r="Q6" s="148">
        <f t="shared" si="3"/>
        <v>1128.6</v>
      </c>
      <c r="R6" s="148">
        <f t="shared" si="3"/>
        <v>1128.6</v>
      </c>
      <c r="S6" s="148">
        <f t="shared" si="3"/>
        <v>1128.6</v>
      </c>
      <c r="T6" s="148">
        <f t="shared" si="3"/>
        <v>1128.6</v>
      </c>
      <c r="U6" s="148">
        <f t="shared" si="3"/>
        <v>1128.6</v>
      </c>
    </row>
    <row r="7" spans="1:21" ht="12.75">
      <c r="A7" s="74" t="s">
        <v>101</v>
      </c>
      <c r="B7" s="143"/>
      <c r="C7" s="142">
        <v>8</v>
      </c>
      <c r="D7" s="148">
        <f aca="true" t="shared" si="4" ref="D7:J8">C7+C7*$D$3</f>
        <v>8</v>
      </c>
      <c r="E7" s="148">
        <f t="shared" si="4"/>
        <v>8</v>
      </c>
      <c r="F7" s="148">
        <f t="shared" si="4"/>
        <v>8</v>
      </c>
      <c r="G7" s="148">
        <f t="shared" si="4"/>
        <v>8</v>
      </c>
      <c r="H7" s="148">
        <f t="shared" si="4"/>
        <v>8</v>
      </c>
      <c r="I7" s="148">
        <f t="shared" si="4"/>
        <v>8</v>
      </c>
      <c r="J7" s="148">
        <f t="shared" si="4"/>
        <v>8</v>
      </c>
      <c r="L7" s="74" t="s">
        <v>101</v>
      </c>
      <c r="M7" s="143"/>
      <c r="N7" s="148">
        <f aca="true" t="shared" si="5" ref="N7:N13">C7*10</f>
        <v>80</v>
      </c>
      <c r="O7" s="148">
        <f aca="true" t="shared" si="6" ref="O7:O13">D7*12</f>
        <v>96</v>
      </c>
      <c r="P7" s="148">
        <f t="shared" si="3"/>
        <v>96</v>
      </c>
      <c r="Q7" s="148">
        <f t="shared" si="3"/>
        <v>96</v>
      </c>
      <c r="R7" s="148">
        <f t="shared" si="3"/>
        <v>96</v>
      </c>
      <c r="S7" s="148">
        <f t="shared" si="3"/>
        <v>96</v>
      </c>
      <c r="T7" s="148">
        <f t="shared" si="3"/>
        <v>96</v>
      </c>
      <c r="U7" s="148">
        <f t="shared" si="3"/>
        <v>96</v>
      </c>
    </row>
    <row r="8" spans="1:21" ht="12.75">
      <c r="A8" s="161" t="s">
        <v>233</v>
      </c>
      <c r="B8" s="225"/>
      <c r="C8" s="142">
        <v>15</v>
      </c>
      <c r="D8" s="148">
        <f t="shared" si="4"/>
        <v>15</v>
      </c>
      <c r="E8" s="148">
        <f t="shared" si="4"/>
        <v>15</v>
      </c>
      <c r="F8" s="148">
        <f t="shared" si="4"/>
        <v>15</v>
      </c>
      <c r="G8" s="148">
        <f t="shared" si="4"/>
        <v>15</v>
      </c>
      <c r="H8" s="148">
        <f t="shared" si="4"/>
        <v>15</v>
      </c>
      <c r="I8" s="148">
        <f t="shared" si="4"/>
        <v>15</v>
      </c>
      <c r="J8" s="148">
        <f t="shared" si="4"/>
        <v>15</v>
      </c>
      <c r="L8" s="161" t="s">
        <v>233</v>
      </c>
      <c r="M8" s="225"/>
      <c r="N8" s="148">
        <f t="shared" si="5"/>
        <v>150</v>
      </c>
      <c r="O8" s="148">
        <f t="shared" si="6"/>
        <v>180</v>
      </c>
      <c r="P8" s="148">
        <f t="shared" si="3"/>
        <v>180</v>
      </c>
      <c r="Q8" s="148">
        <f t="shared" si="3"/>
        <v>180</v>
      </c>
      <c r="R8" s="148">
        <f t="shared" si="3"/>
        <v>180</v>
      </c>
      <c r="S8" s="148">
        <f t="shared" si="3"/>
        <v>180</v>
      </c>
      <c r="T8" s="148">
        <f t="shared" si="3"/>
        <v>180</v>
      </c>
      <c r="U8" s="148">
        <f t="shared" si="3"/>
        <v>180</v>
      </c>
    </row>
    <row r="9" spans="1:21" ht="12.75">
      <c r="A9" s="161" t="s">
        <v>115</v>
      </c>
      <c r="B9" s="225" t="s">
        <v>190</v>
      </c>
      <c r="C9" s="142">
        <v>4.5</v>
      </c>
      <c r="D9" s="148">
        <f aca="true" t="shared" si="7" ref="D9:J9">C9+C9*$D$3</f>
        <v>4.5</v>
      </c>
      <c r="E9" s="148">
        <f t="shared" si="7"/>
        <v>4.5</v>
      </c>
      <c r="F9" s="148">
        <f t="shared" si="7"/>
        <v>4.5</v>
      </c>
      <c r="G9" s="148">
        <f t="shared" si="7"/>
        <v>4.5</v>
      </c>
      <c r="H9" s="148">
        <f t="shared" si="7"/>
        <v>4.5</v>
      </c>
      <c r="I9" s="148">
        <f t="shared" si="7"/>
        <v>4.5</v>
      </c>
      <c r="J9" s="148">
        <f t="shared" si="7"/>
        <v>4.5</v>
      </c>
      <c r="L9" s="161" t="s">
        <v>115</v>
      </c>
      <c r="M9" s="225" t="s">
        <v>190</v>
      </c>
      <c r="N9" s="148">
        <f t="shared" si="5"/>
        <v>45</v>
      </c>
      <c r="O9" s="148">
        <f t="shared" si="6"/>
        <v>54</v>
      </c>
      <c r="P9" s="148">
        <f t="shared" si="3"/>
        <v>54</v>
      </c>
      <c r="Q9" s="148">
        <f t="shared" si="3"/>
        <v>54</v>
      </c>
      <c r="R9" s="148">
        <f t="shared" si="3"/>
        <v>54</v>
      </c>
      <c r="S9" s="148">
        <f t="shared" si="3"/>
        <v>54</v>
      </c>
      <c r="T9" s="148">
        <f t="shared" si="3"/>
        <v>54</v>
      </c>
      <c r="U9" s="148">
        <f t="shared" si="3"/>
        <v>54</v>
      </c>
    </row>
    <row r="10" spans="1:21" ht="12.75">
      <c r="A10" s="161" t="s">
        <v>110</v>
      </c>
      <c r="B10" s="143"/>
      <c r="C10" s="142">
        <v>10</v>
      </c>
      <c r="D10" s="148">
        <f aca="true" t="shared" si="8" ref="D10:J13">C10+C10*$D$3</f>
        <v>10</v>
      </c>
      <c r="E10" s="148">
        <f t="shared" si="8"/>
        <v>10</v>
      </c>
      <c r="F10" s="148">
        <f t="shared" si="8"/>
        <v>10</v>
      </c>
      <c r="G10" s="148">
        <f t="shared" si="8"/>
        <v>10</v>
      </c>
      <c r="H10" s="148">
        <f t="shared" si="8"/>
        <v>10</v>
      </c>
      <c r="I10" s="148">
        <f t="shared" si="8"/>
        <v>10</v>
      </c>
      <c r="J10" s="148">
        <f t="shared" si="8"/>
        <v>10</v>
      </c>
      <c r="L10" s="161" t="s">
        <v>110</v>
      </c>
      <c r="M10" s="143"/>
      <c r="N10" s="148">
        <f t="shared" si="5"/>
        <v>100</v>
      </c>
      <c r="O10" s="148">
        <f t="shared" si="6"/>
        <v>120</v>
      </c>
      <c r="P10" s="148">
        <f t="shared" si="3"/>
        <v>120</v>
      </c>
      <c r="Q10" s="148">
        <f t="shared" si="3"/>
        <v>120</v>
      </c>
      <c r="R10" s="148">
        <f t="shared" si="3"/>
        <v>120</v>
      </c>
      <c r="S10" s="148">
        <f t="shared" si="3"/>
        <v>120</v>
      </c>
      <c r="T10" s="148">
        <f t="shared" si="3"/>
        <v>120</v>
      </c>
      <c r="U10" s="148">
        <f t="shared" si="3"/>
        <v>120</v>
      </c>
    </row>
    <row r="11" spans="1:21" ht="12.75">
      <c r="A11" s="74" t="s">
        <v>43</v>
      </c>
      <c r="B11" s="143"/>
      <c r="C11" s="142">
        <v>5</v>
      </c>
      <c r="D11" s="148">
        <f t="shared" si="8"/>
        <v>5</v>
      </c>
      <c r="E11" s="148">
        <f t="shared" si="8"/>
        <v>5</v>
      </c>
      <c r="F11" s="148">
        <f t="shared" si="8"/>
        <v>5</v>
      </c>
      <c r="G11" s="148">
        <f t="shared" si="8"/>
        <v>5</v>
      </c>
      <c r="H11" s="148">
        <f t="shared" si="8"/>
        <v>5</v>
      </c>
      <c r="I11" s="148">
        <f t="shared" si="8"/>
        <v>5</v>
      </c>
      <c r="J11" s="148">
        <f t="shared" si="8"/>
        <v>5</v>
      </c>
      <c r="L11" s="74" t="s">
        <v>43</v>
      </c>
      <c r="M11" s="143"/>
      <c r="N11" s="148">
        <f t="shared" si="5"/>
        <v>50</v>
      </c>
      <c r="O11" s="148">
        <f t="shared" si="6"/>
        <v>60</v>
      </c>
      <c r="P11" s="148">
        <f t="shared" si="3"/>
        <v>60</v>
      </c>
      <c r="Q11" s="148">
        <f t="shared" si="3"/>
        <v>60</v>
      </c>
      <c r="R11" s="148">
        <f t="shared" si="3"/>
        <v>60</v>
      </c>
      <c r="S11" s="148">
        <f t="shared" si="3"/>
        <v>60</v>
      </c>
      <c r="T11" s="148">
        <f t="shared" si="3"/>
        <v>60</v>
      </c>
      <c r="U11" s="148">
        <f t="shared" si="3"/>
        <v>60</v>
      </c>
    </row>
    <row r="12" spans="1:21" ht="12.75">
      <c r="A12" s="74" t="s">
        <v>234</v>
      </c>
      <c r="B12" s="225"/>
      <c r="C12" s="142">
        <v>10</v>
      </c>
      <c r="D12" s="148">
        <f aca="true" t="shared" si="9" ref="D12:J12">C12+C12*$D$3</f>
        <v>10</v>
      </c>
      <c r="E12" s="148">
        <f t="shared" si="9"/>
        <v>10</v>
      </c>
      <c r="F12" s="148">
        <f t="shared" si="9"/>
        <v>10</v>
      </c>
      <c r="G12" s="148">
        <f t="shared" si="9"/>
        <v>10</v>
      </c>
      <c r="H12" s="148">
        <f t="shared" si="9"/>
        <v>10</v>
      </c>
      <c r="I12" s="148">
        <f t="shared" si="9"/>
        <v>10</v>
      </c>
      <c r="J12" s="148">
        <f t="shared" si="9"/>
        <v>10</v>
      </c>
      <c r="L12" s="74" t="s">
        <v>234</v>
      </c>
      <c r="M12" s="225"/>
      <c r="N12" s="148">
        <f t="shared" si="5"/>
        <v>100</v>
      </c>
      <c r="O12" s="148">
        <f t="shared" si="6"/>
        <v>120</v>
      </c>
      <c r="P12" s="148">
        <f t="shared" si="3"/>
        <v>120</v>
      </c>
      <c r="Q12" s="148">
        <f t="shared" si="3"/>
        <v>120</v>
      </c>
      <c r="R12" s="148">
        <f t="shared" si="3"/>
        <v>120</v>
      </c>
      <c r="S12" s="148">
        <f t="shared" si="3"/>
        <v>120</v>
      </c>
      <c r="T12" s="148">
        <f t="shared" si="3"/>
        <v>120</v>
      </c>
      <c r="U12" s="148">
        <f t="shared" si="3"/>
        <v>120</v>
      </c>
    </row>
    <row r="13" spans="1:21" ht="12.75">
      <c r="A13" s="74" t="s">
        <v>44</v>
      </c>
      <c r="B13" s="148"/>
      <c r="C13" s="142">
        <v>20</v>
      </c>
      <c r="D13" s="148">
        <f t="shared" si="8"/>
        <v>20</v>
      </c>
      <c r="E13" s="148">
        <f t="shared" si="8"/>
        <v>20</v>
      </c>
      <c r="F13" s="148">
        <f t="shared" si="8"/>
        <v>20</v>
      </c>
      <c r="G13" s="148">
        <f t="shared" si="8"/>
        <v>20</v>
      </c>
      <c r="H13" s="148">
        <f t="shared" si="8"/>
        <v>20</v>
      </c>
      <c r="I13" s="148">
        <f t="shared" si="8"/>
        <v>20</v>
      </c>
      <c r="J13" s="148">
        <f t="shared" si="8"/>
        <v>20</v>
      </c>
      <c r="L13" s="74" t="s">
        <v>44</v>
      </c>
      <c r="M13" s="148"/>
      <c r="N13" s="148">
        <f t="shared" si="5"/>
        <v>200</v>
      </c>
      <c r="O13" s="148">
        <f t="shared" si="6"/>
        <v>240</v>
      </c>
      <c r="P13" s="148">
        <f t="shared" si="3"/>
        <v>240</v>
      </c>
      <c r="Q13" s="148">
        <f t="shared" si="3"/>
        <v>240</v>
      </c>
      <c r="R13" s="148">
        <f t="shared" si="3"/>
        <v>240</v>
      </c>
      <c r="S13" s="148">
        <f t="shared" si="3"/>
        <v>240</v>
      </c>
      <c r="T13" s="148">
        <f t="shared" si="3"/>
        <v>240</v>
      </c>
      <c r="U13" s="148">
        <f t="shared" si="3"/>
        <v>240</v>
      </c>
    </row>
    <row r="14" spans="1:21" ht="12.75">
      <c r="A14" s="217" t="s">
        <v>0</v>
      </c>
      <c r="B14" s="218"/>
      <c r="C14" s="218">
        <f aca="true" t="shared" si="10" ref="C14:J14">SUM(C6:C13)</f>
        <v>166.55</v>
      </c>
      <c r="D14" s="218">
        <f t="shared" si="10"/>
        <v>166.55</v>
      </c>
      <c r="E14" s="218">
        <f t="shared" si="10"/>
        <v>166.55</v>
      </c>
      <c r="F14" s="218">
        <f t="shared" si="10"/>
        <v>166.55</v>
      </c>
      <c r="G14" s="218">
        <f t="shared" si="10"/>
        <v>166.55</v>
      </c>
      <c r="H14" s="218">
        <f t="shared" si="10"/>
        <v>166.55</v>
      </c>
      <c r="I14" s="218">
        <f t="shared" si="10"/>
        <v>166.55</v>
      </c>
      <c r="J14" s="218">
        <f t="shared" si="10"/>
        <v>166.55</v>
      </c>
      <c r="L14" s="217" t="s">
        <v>0</v>
      </c>
      <c r="M14" s="218"/>
      <c r="N14" s="218">
        <f aca="true" t="shared" si="11" ref="N14:U14">SUM(N6:N13)</f>
        <v>1665.5</v>
      </c>
      <c r="O14" s="218">
        <f t="shared" si="11"/>
        <v>1998.6</v>
      </c>
      <c r="P14" s="218">
        <f t="shared" si="11"/>
        <v>1998.6</v>
      </c>
      <c r="Q14" s="218">
        <f t="shared" si="11"/>
        <v>1998.6</v>
      </c>
      <c r="R14" s="218">
        <f t="shared" si="11"/>
        <v>1998.6</v>
      </c>
      <c r="S14" s="218">
        <f t="shared" si="11"/>
        <v>1998.6</v>
      </c>
      <c r="T14" s="218">
        <f t="shared" si="11"/>
        <v>1998.6</v>
      </c>
      <c r="U14" s="218">
        <f t="shared" si="11"/>
        <v>1998.6</v>
      </c>
    </row>
    <row r="16" spans="1:21" ht="12.75">
      <c r="A16" s="61" t="s">
        <v>77</v>
      </c>
      <c r="C16" s="163">
        <f aca="true" t="shared" si="12" ref="C16:J16">SUM(C17:C17)</f>
        <v>0.28215</v>
      </c>
      <c r="D16" s="163">
        <f t="shared" si="12"/>
        <v>0.28215</v>
      </c>
      <c r="E16" s="163">
        <f t="shared" si="12"/>
        <v>0.28215</v>
      </c>
      <c r="F16" s="163">
        <f t="shared" si="12"/>
        <v>0.28215</v>
      </c>
      <c r="G16" s="163">
        <f t="shared" si="12"/>
        <v>0.28215</v>
      </c>
      <c r="H16" s="163">
        <f t="shared" si="12"/>
        <v>0.28215</v>
      </c>
      <c r="I16" s="163">
        <f t="shared" si="12"/>
        <v>0.28215</v>
      </c>
      <c r="J16" s="163">
        <f t="shared" si="12"/>
        <v>0.28215</v>
      </c>
      <c r="L16" s="61" t="s">
        <v>77</v>
      </c>
      <c r="N16" s="197">
        <f aca="true" t="shared" si="13" ref="N16:U16">SUM(N17:N17)</f>
        <v>2.8215000000000003</v>
      </c>
      <c r="O16" s="197">
        <f t="shared" si="13"/>
        <v>3.3858</v>
      </c>
      <c r="P16" s="197">
        <f t="shared" si="13"/>
        <v>3.3858</v>
      </c>
      <c r="Q16" s="197">
        <f t="shared" si="13"/>
        <v>3.3858</v>
      </c>
      <c r="R16" s="197">
        <f t="shared" si="13"/>
        <v>3.3858</v>
      </c>
      <c r="S16" s="197">
        <f t="shared" si="13"/>
        <v>3.3858</v>
      </c>
      <c r="T16" s="197">
        <f t="shared" si="13"/>
        <v>3.3858</v>
      </c>
      <c r="U16" s="197">
        <f t="shared" si="13"/>
        <v>3.3858</v>
      </c>
    </row>
    <row r="17" spans="1:21" ht="25.5">
      <c r="A17" s="161" t="s">
        <v>78</v>
      </c>
      <c r="B17" s="164">
        <v>0.003</v>
      </c>
      <c r="C17" s="165">
        <f aca="true" t="shared" si="14" ref="C17:J17">C6*$B$17</f>
        <v>0.28215</v>
      </c>
      <c r="D17" s="165">
        <f t="shared" si="14"/>
        <v>0.28215</v>
      </c>
      <c r="E17" s="165">
        <f t="shared" si="14"/>
        <v>0.28215</v>
      </c>
      <c r="F17" s="165">
        <f t="shared" si="14"/>
        <v>0.28215</v>
      </c>
      <c r="G17" s="165">
        <f t="shared" si="14"/>
        <v>0.28215</v>
      </c>
      <c r="H17" s="165">
        <f t="shared" si="14"/>
        <v>0.28215</v>
      </c>
      <c r="I17" s="165">
        <f t="shared" si="14"/>
        <v>0.28215</v>
      </c>
      <c r="J17" s="165">
        <f t="shared" si="14"/>
        <v>0.28215</v>
      </c>
      <c r="L17" s="161" t="s">
        <v>78</v>
      </c>
      <c r="M17" s="167">
        <f>B17</f>
        <v>0.003</v>
      </c>
      <c r="N17" s="148">
        <f>C17*10</f>
        <v>2.8215000000000003</v>
      </c>
      <c r="O17" s="148">
        <f>D17*12</f>
        <v>3.3858</v>
      </c>
      <c r="P17" s="148">
        <f aca="true" t="shared" si="15" ref="P17:U17">E17*12</f>
        <v>3.3858</v>
      </c>
      <c r="Q17" s="148">
        <f t="shared" si="15"/>
        <v>3.3858</v>
      </c>
      <c r="R17" s="148">
        <f t="shared" si="15"/>
        <v>3.3858</v>
      </c>
      <c r="S17" s="148">
        <f t="shared" si="15"/>
        <v>3.3858</v>
      </c>
      <c r="T17" s="148">
        <f t="shared" si="15"/>
        <v>3.3858</v>
      </c>
      <c r="U17" s="148">
        <f t="shared" si="15"/>
        <v>3.3858</v>
      </c>
    </row>
    <row r="19" spans="1:21" ht="12.75">
      <c r="A19" s="61" t="s">
        <v>79</v>
      </c>
      <c r="C19" s="166">
        <f>SUM(C20:C21)</f>
        <v>0</v>
      </c>
      <c r="D19" s="166">
        <f aca="true" t="shared" si="16" ref="D19:I19">SUM(D20:D21)</f>
        <v>0</v>
      </c>
      <c r="E19" s="166">
        <f t="shared" si="16"/>
        <v>0</v>
      </c>
      <c r="F19" s="166">
        <f t="shared" si="16"/>
        <v>0</v>
      </c>
      <c r="G19" s="166">
        <f t="shared" si="16"/>
        <v>0</v>
      </c>
      <c r="H19" s="166">
        <f t="shared" si="16"/>
        <v>0</v>
      </c>
      <c r="I19" s="166">
        <f t="shared" si="16"/>
        <v>0</v>
      </c>
      <c r="J19" s="166">
        <f>SUM(J20:J21)</f>
        <v>0</v>
      </c>
      <c r="L19" s="61" t="s">
        <v>79</v>
      </c>
      <c r="N19" s="166">
        <f>SUM(N20:N21)</f>
        <v>0</v>
      </c>
      <c r="O19" s="166">
        <f aca="true" t="shared" si="17" ref="O19:T19">SUM(O20:O21)</f>
        <v>0</v>
      </c>
      <c r="P19" s="166">
        <f t="shared" si="17"/>
        <v>0</v>
      </c>
      <c r="Q19" s="166">
        <f t="shared" si="17"/>
        <v>0</v>
      </c>
      <c r="R19" s="166">
        <f t="shared" si="17"/>
        <v>0</v>
      </c>
      <c r="S19" s="166">
        <f t="shared" si="17"/>
        <v>0</v>
      </c>
      <c r="T19" s="166">
        <f t="shared" si="17"/>
        <v>0</v>
      </c>
      <c r="U19" s="166">
        <f>SUM(U20:U21)</f>
        <v>0</v>
      </c>
    </row>
    <row r="20" spans="1:21" ht="12.75">
      <c r="A20" s="74" t="s">
        <v>1</v>
      </c>
      <c r="B20" s="167">
        <f>Исх!C18</f>
        <v>0</v>
      </c>
      <c r="C20" s="148">
        <f>(C33+C36)/2*$B$20/12</f>
        <v>0</v>
      </c>
      <c r="D20" s="148">
        <f aca="true" t="shared" si="18" ref="D20:I20">(D33+D36)/2*$B$20/12</f>
        <v>0</v>
      </c>
      <c r="E20" s="148">
        <f t="shared" si="18"/>
        <v>0</v>
      </c>
      <c r="F20" s="148">
        <f t="shared" si="18"/>
        <v>0</v>
      </c>
      <c r="G20" s="148">
        <f t="shared" si="18"/>
        <v>0</v>
      </c>
      <c r="H20" s="148">
        <f t="shared" si="18"/>
        <v>0</v>
      </c>
      <c r="I20" s="148">
        <f t="shared" si="18"/>
        <v>0</v>
      </c>
      <c r="J20" s="148">
        <f>(J33+J36)/2*$B$20/12</f>
        <v>0</v>
      </c>
      <c r="L20" s="74" t="s">
        <v>1</v>
      </c>
      <c r="M20" s="167">
        <f>B20</f>
        <v>0</v>
      </c>
      <c r="N20" s="148">
        <f>C20*10</f>
        <v>0</v>
      </c>
      <c r="O20" s="148">
        <f aca="true" t="shared" si="19" ref="O20:U21">D20*12</f>
        <v>0</v>
      </c>
      <c r="P20" s="148">
        <f t="shared" si="19"/>
        <v>0</v>
      </c>
      <c r="Q20" s="148">
        <f t="shared" si="19"/>
        <v>0</v>
      </c>
      <c r="R20" s="148">
        <f t="shared" si="19"/>
        <v>0</v>
      </c>
      <c r="S20" s="148">
        <f t="shared" si="19"/>
        <v>0</v>
      </c>
      <c r="T20" s="148">
        <f t="shared" si="19"/>
        <v>0</v>
      </c>
      <c r="U20" s="148">
        <f t="shared" si="19"/>
        <v>0</v>
      </c>
    </row>
    <row r="21" spans="1:21" ht="12.75">
      <c r="A21" s="74" t="s">
        <v>228</v>
      </c>
      <c r="B21" s="74"/>
      <c r="C21" s="142">
        <v>0</v>
      </c>
      <c r="D21" s="148">
        <f aca="true" t="shared" si="20" ref="D21:J21">C21+C21*$D$3</f>
        <v>0</v>
      </c>
      <c r="E21" s="148">
        <f t="shared" si="20"/>
        <v>0</v>
      </c>
      <c r="F21" s="148">
        <f t="shared" si="20"/>
        <v>0</v>
      </c>
      <c r="G21" s="148">
        <f t="shared" si="20"/>
        <v>0</v>
      </c>
      <c r="H21" s="148">
        <f t="shared" si="20"/>
        <v>0</v>
      </c>
      <c r="I21" s="148">
        <f t="shared" si="20"/>
        <v>0</v>
      </c>
      <c r="J21" s="148">
        <f t="shared" si="20"/>
        <v>0</v>
      </c>
      <c r="L21" s="74" t="s">
        <v>228</v>
      </c>
      <c r="M21" s="167">
        <f>B21</f>
        <v>0</v>
      </c>
      <c r="N21" s="148">
        <f>C21*10</f>
        <v>0</v>
      </c>
      <c r="O21" s="148">
        <f t="shared" si="19"/>
        <v>0</v>
      </c>
      <c r="P21" s="148">
        <f t="shared" si="19"/>
        <v>0</v>
      </c>
      <c r="Q21" s="148">
        <f t="shared" si="19"/>
        <v>0</v>
      </c>
      <c r="R21" s="148">
        <f t="shared" si="19"/>
        <v>0</v>
      </c>
      <c r="S21" s="148">
        <f t="shared" si="19"/>
        <v>0</v>
      </c>
      <c r="T21" s="148">
        <f t="shared" si="19"/>
        <v>0</v>
      </c>
      <c r="U21" s="148">
        <f t="shared" si="19"/>
        <v>0</v>
      </c>
    </row>
    <row r="23" ht="12.75">
      <c r="C23" s="168"/>
    </row>
    <row r="24" spans="1:10" ht="12.75">
      <c r="A24" s="61" t="s">
        <v>80</v>
      </c>
      <c r="C24" s="166"/>
      <c r="D24" s="166"/>
      <c r="E24" s="166"/>
      <c r="F24" s="166"/>
      <c r="G24" s="166"/>
      <c r="H24" s="166"/>
      <c r="I24" s="166"/>
      <c r="J24" s="166"/>
    </row>
    <row r="25" spans="1:10" ht="12.75">
      <c r="A25" s="138" t="s">
        <v>86</v>
      </c>
      <c r="B25" s="74"/>
      <c r="C25" s="139">
        <f aca="true" t="shared" si="21" ref="C25:J25">C5</f>
        <v>2014</v>
      </c>
      <c r="D25" s="139">
        <f t="shared" si="21"/>
        <v>2015</v>
      </c>
      <c r="E25" s="139">
        <f t="shared" si="21"/>
        <v>2016</v>
      </c>
      <c r="F25" s="139">
        <f t="shared" si="21"/>
        <v>2017</v>
      </c>
      <c r="G25" s="139">
        <f t="shared" si="21"/>
        <v>2018</v>
      </c>
      <c r="H25" s="139">
        <f t="shared" si="21"/>
        <v>2019</v>
      </c>
      <c r="I25" s="139">
        <f t="shared" si="21"/>
        <v>2020</v>
      </c>
      <c r="J25" s="139">
        <f t="shared" si="21"/>
        <v>2021</v>
      </c>
    </row>
    <row r="26" spans="1:10" ht="12.75">
      <c r="A26" s="74" t="s">
        <v>81</v>
      </c>
      <c r="B26" s="169"/>
      <c r="C26" s="74"/>
      <c r="D26" s="74"/>
      <c r="E26" s="74"/>
      <c r="F26" s="74"/>
      <c r="G26" s="74"/>
      <c r="H26" s="74"/>
      <c r="I26" s="74"/>
      <c r="J26" s="74"/>
    </row>
    <row r="27" spans="1:10" ht="12.75">
      <c r="A27" s="74" t="s">
        <v>82</v>
      </c>
      <c r="B27" s="170"/>
      <c r="C27" s="148">
        <f>C33+C39+C45</f>
        <v>0</v>
      </c>
      <c r="D27" s="148">
        <f aca="true" t="shared" si="22" ref="D27:I27">D33+D39+D45</f>
        <v>53800.92638350001</v>
      </c>
      <c r="E27" s="148">
        <f t="shared" si="22"/>
        <v>46293.82037650001</v>
      </c>
      <c r="F27" s="148">
        <f t="shared" si="22"/>
        <v>38786.714369500005</v>
      </c>
      <c r="G27" s="148">
        <f t="shared" si="22"/>
        <v>31279.608362500003</v>
      </c>
      <c r="H27" s="148">
        <f t="shared" si="22"/>
        <v>23772.5023555</v>
      </c>
      <c r="I27" s="148">
        <f t="shared" si="22"/>
        <v>16265.396348499999</v>
      </c>
      <c r="J27" s="148">
        <f>J33+J39+J45</f>
        <v>8758.290341499996</v>
      </c>
    </row>
    <row r="28" spans="1:10" ht="12.75">
      <c r="A28" s="74" t="s">
        <v>83</v>
      </c>
      <c r="B28" s="170"/>
      <c r="C28" s="148">
        <f>C34+C40+C46</f>
        <v>60056.84805600001</v>
      </c>
      <c r="D28" s="148">
        <f aca="true" t="shared" si="23" ref="D28:I28">D34+D40+D46</f>
        <v>0</v>
      </c>
      <c r="E28" s="148">
        <f t="shared" si="23"/>
        <v>0</v>
      </c>
      <c r="F28" s="148">
        <f t="shared" si="23"/>
        <v>0</v>
      </c>
      <c r="G28" s="148">
        <f t="shared" si="23"/>
        <v>0</v>
      </c>
      <c r="H28" s="148">
        <f t="shared" si="23"/>
        <v>0</v>
      </c>
      <c r="I28" s="148">
        <f t="shared" si="23"/>
        <v>0</v>
      </c>
      <c r="J28" s="148">
        <f>J34+J40+J46</f>
        <v>0</v>
      </c>
    </row>
    <row r="29" spans="1:10" ht="12.75">
      <c r="A29" s="150" t="s">
        <v>84</v>
      </c>
      <c r="B29" s="150"/>
      <c r="C29" s="149">
        <f>C35+C41+C47</f>
        <v>6255.921672500001</v>
      </c>
      <c r="D29" s="149">
        <f aca="true" t="shared" si="24" ref="D29:I29">D35+D41+D47</f>
        <v>7507.106007000001</v>
      </c>
      <c r="E29" s="149">
        <f t="shared" si="24"/>
        <v>7507.106007000001</v>
      </c>
      <c r="F29" s="149">
        <f t="shared" si="24"/>
        <v>7507.106007000001</v>
      </c>
      <c r="G29" s="149">
        <f t="shared" si="24"/>
        <v>7507.106007000001</v>
      </c>
      <c r="H29" s="149">
        <f t="shared" si="24"/>
        <v>7507.106007000001</v>
      </c>
      <c r="I29" s="149">
        <f t="shared" si="24"/>
        <v>7507.106007000001</v>
      </c>
      <c r="J29" s="149">
        <f>J35+J41+J47</f>
        <v>7507.106007000001</v>
      </c>
    </row>
    <row r="30" spans="1:10" ht="12.75">
      <c r="A30" s="74" t="s">
        <v>85</v>
      </c>
      <c r="B30" s="170"/>
      <c r="C30" s="148">
        <f aca="true" t="shared" si="25" ref="C30:I30">C27+C28-C29</f>
        <v>53800.92638350001</v>
      </c>
      <c r="D30" s="148">
        <f t="shared" si="25"/>
        <v>46293.82037650001</v>
      </c>
      <c r="E30" s="148">
        <f t="shared" si="25"/>
        <v>38786.714369500005</v>
      </c>
      <c r="F30" s="148">
        <f t="shared" si="25"/>
        <v>31279.608362500003</v>
      </c>
      <c r="G30" s="148">
        <f t="shared" si="25"/>
        <v>23772.5023555</v>
      </c>
      <c r="H30" s="148">
        <f t="shared" si="25"/>
        <v>16265.396348499999</v>
      </c>
      <c r="I30" s="148">
        <f t="shared" si="25"/>
        <v>8758.290341499996</v>
      </c>
      <c r="J30" s="148">
        <f>J27+J28-J29</f>
        <v>1251.1843344999952</v>
      </c>
    </row>
    <row r="31" spans="1:10" ht="12.75" hidden="1" outlineLevel="1">
      <c r="A31" s="72" t="s">
        <v>111</v>
      </c>
      <c r="C31" s="139"/>
      <c r="D31" s="139"/>
      <c r="E31" s="139"/>
      <c r="F31" s="139"/>
      <c r="G31" s="139"/>
      <c r="H31" s="139"/>
      <c r="I31" s="139"/>
      <c r="J31" s="139"/>
    </row>
    <row r="32" spans="1:10" ht="12.75" hidden="1" outlineLevel="1">
      <c r="A32" s="74" t="s">
        <v>81</v>
      </c>
      <c r="B32" s="171">
        <v>0.05</v>
      </c>
      <c r="C32" s="74"/>
      <c r="D32" s="74"/>
      <c r="E32" s="74"/>
      <c r="F32" s="74"/>
      <c r="G32" s="74"/>
      <c r="H32" s="74"/>
      <c r="I32" s="74"/>
      <c r="J32" s="74"/>
    </row>
    <row r="33" spans="1:10" ht="12.75" hidden="1" outlineLevel="1">
      <c r="A33" s="74" t="s">
        <v>82</v>
      </c>
      <c r="B33" s="170"/>
      <c r="C33" s="143">
        <f>Инв!C37</f>
        <v>0</v>
      </c>
      <c r="D33" s="148">
        <f aca="true" t="shared" si="26" ref="D33:J33">C36</f>
        <v>0</v>
      </c>
      <c r="E33" s="148">
        <f t="shared" si="26"/>
        <v>0</v>
      </c>
      <c r="F33" s="148">
        <f t="shared" si="26"/>
        <v>0</v>
      </c>
      <c r="G33" s="148">
        <f t="shared" si="26"/>
        <v>0</v>
      </c>
      <c r="H33" s="148">
        <f t="shared" si="26"/>
        <v>0</v>
      </c>
      <c r="I33" s="148">
        <f t="shared" si="26"/>
        <v>0</v>
      </c>
      <c r="J33" s="148">
        <f t="shared" si="26"/>
        <v>0</v>
      </c>
    </row>
    <row r="34" spans="1:10" ht="12.75" hidden="1" outlineLevel="1">
      <c r="A34" s="74" t="s">
        <v>83</v>
      </c>
      <c r="B34" s="170"/>
      <c r="C34" s="148"/>
      <c r="D34" s="148"/>
      <c r="E34" s="148"/>
      <c r="F34" s="148"/>
      <c r="G34" s="148"/>
      <c r="H34" s="148"/>
      <c r="I34" s="148"/>
      <c r="J34" s="148"/>
    </row>
    <row r="35" spans="1:10" ht="12.75" hidden="1" outlineLevel="1">
      <c r="A35" s="150" t="s">
        <v>84</v>
      </c>
      <c r="B35" s="150"/>
      <c r="C35" s="149">
        <f aca="true" t="shared" si="27" ref="C35:I35">$C33*$B32</f>
        <v>0</v>
      </c>
      <c r="D35" s="149">
        <f t="shared" si="27"/>
        <v>0</v>
      </c>
      <c r="E35" s="149">
        <f t="shared" si="27"/>
        <v>0</v>
      </c>
      <c r="F35" s="149">
        <f t="shared" si="27"/>
        <v>0</v>
      </c>
      <c r="G35" s="149">
        <f t="shared" si="27"/>
        <v>0</v>
      </c>
      <c r="H35" s="149">
        <f t="shared" si="27"/>
        <v>0</v>
      </c>
      <c r="I35" s="149">
        <f t="shared" si="27"/>
        <v>0</v>
      </c>
      <c r="J35" s="149">
        <f>$C33*$B32</f>
        <v>0</v>
      </c>
    </row>
    <row r="36" spans="1:10" ht="12.75" hidden="1" outlineLevel="1">
      <c r="A36" s="74" t="s">
        <v>85</v>
      </c>
      <c r="B36" s="170"/>
      <c r="C36" s="148">
        <f aca="true" t="shared" si="28" ref="C36:I36">C33+C34-C35</f>
        <v>0</v>
      </c>
      <c r="D36" s="148">
        <f t="shared" si="28"/>
        <v>0</v>
      </c>
      <c r="E36" s="148">
        <f t="shared" si="28"/>
        <v>0</v>
      </c>
      <c r="F36" s="148">
        <f t="shared" si="28"/>
        <v>0</v>
      </c>
      <c r="G36" s="148">
        <f t="shared" si="28"/>
        <v>0</v>
      </c>
      <c r="H36" s="148">
        <f t="shared" si="28"/>
        <v>0</v>
      </c>
      <c r="I36" s="148">
        <f t="shared" si="28"/>
        <v>0</v>
      </c>
      <c r="J36" s="148">
        <f>J33+J34-J35</f>
        <v>0</v>
      </c>
    </row>
    <row r="37" spans="1:10" ht="12.75" hidden="1" outlineLevel="1">
      <c r="A37" s="72" t="s">
        <v>105</v>
      </c>
      <c r="C37" s="139"/>
      <c r="D37" s="139"/>
      <c r="E37" s="139"/>
      <c r="F37" s="139"/>
      <c r="G37" s="139"/>
      <c r="H37" s="139"/>
      <c r="I37" s="139"/>
      <c r="J37" s="139"/>
    </row>
    <row r="38" spans="1:10" ht="12.75" hidden="1" outlineLevel="1">
      <c r="A38" s="74" t="s">
        <v>81</v>
      </c>
      <c r="B38" s="171">
        <v>0.1</v>
      </c>
      <c r="C38" s="74"/>
      <c r="D38" s="74"/>
      <c r="E38" s="74"/>
      <c r="F38" s="74"/>
      <c r="G38" s="74"/>
      <c r="H38" s="74"/>
      <c r="I38" s="74"/>
      <c r="J38" s="74"/>
    </row>
    <row r="39" spans="1:10" ht="12.75" hidden="1" outlineLevel="1">
      <c r="A39" s="74" t="s">
        <v>82</v>
      </c>
      <c r="B39" s="170"/>
      <c r="C39" s="148">
        <f>Инв!C38</f>
        <v>0</v>
      </c>
      <c r="D39" s="148">
        <f aca="true" t="shared" si="29" ref="D39:J39">C42</f>
        <v>0</v>
      </c>
      <c r="E39" s="148">
        <f t="shared" si="29"/>
        <v>0</v>
      </c>
      <c r="F39" s="148">
        <f t="shared" si="29"/>
        <v>0</v>
      </c>
      <c r="G39" s="148">
        <f t="shared" si="29"/>
        <v>0</v>
      </c>
      <c r="H39" s="148">
        <f t="shared" si="29"/>
        <v>0</v>
      </c>
      <c r="I39" s="148">
        <f t="shared" si="29"/>
        <v>0</v>
      </c>
      <c r="J39" s="148">
        <f t="shared" si="29"/>
        <v>0</v>
      </c>
    </row>
    <row r="40" spans="1:10" ht="12.75" hidden="1" outlineLevel="1">
      <c r="A40" s="74" t="s">
        <v>83</v>
      </c>
      <c r="B40" s="170"/>
      <c r="C40" s="148"/>
      <c r="D40" s="148"/>
      <c r="E40" s="148"/>
      <c r="F40" s="148"/>
      <c r="G40" s="148"/>
      <c r="H40" s="148"/>
      <c r="I40" s="148"/>
      <c r="J40" s="148"/>
    </row>
    <row r="41" spans="1:10" ht="12.75" hidden="1" outlineLevel="1">
      <c r="A41" s="150" t="s">
        <v>84</v>
      </c>
      <c r="B41" s="150"/>
      <c r="C41" s="149">
        <f aca="true" t="shared" si="30" ref="C41:I41">$C39*$B38</f>
        <v>0</v>
      </c>
      <c r="D41" s="149">
        <f t="shared" si="30"/>
        <v>0</v>
      </c>
      <c r="E41" s="149">
        <f t="shared" si="30"/>
        <v>0</v>
      </c>
      <c r="F41" s="149">
        <f t="shared" si="30"/>
        <v>0</v>
      </c>
      <c r="G41" s="149">
        <f t="shared" si="30"/>
        <v>0</v>
      </c>
      <c r="H41" s="149">
        <f t="shared" si="30"/>
        <v>0</v>
      </c>
      <c r="I41" s="149">
        <f t="shared" si="30"/>
        <v>0</v>
      </c>
      <c r="J41" s="149">
        <f>$C39*$B38</f>
        <v>0</v>
      </c>
    </row>
    <row r="42" spans="1:10" ht="12.75" hidden="1" outlineLevel="1">
      <c r="A42" s="74" t="s">
        <v>85</v>
      </c>
      <c r="B42" s="170"/>
      <c r="C42" s="148">
        <f aca="true" t="shared" si="31" ref="C42:I42">C39+C40-C41</f>
        <v>0</v>
      </c>
      <c r="D42" s="148">
        <f t="shared" si="31"/>
        <v>0</v>
      </c>
      <c r="E42" s="148">
        <f t="shared" si="31"/>
        <v>0</v>
      </c>
      <c r="F42" s="148">
        <f t="shared" si="31"/>
        <v>0</v>
      </c>
      <c r="G42" s="148">
        <f t="shared" si="31"/>
        <v>0</v>
      </c>
      <c r="H42" s="148">
        <f t="shared" si="31"/>
        <v>0</v>
      </c>
      <c r="I42" s="148">
        <f t="shared" si="31"/>
        <v>0</v>
      </c>
      <c r="J42" s="148">
        <f>J39+J40-J41</f>
        <v>0</v>
      </c>
    </row>
    <row r="43" spans="1:10" ht="12.75" hidden="1" outlineLevel="1">
      <c r="A43" s="72" t="s">
        <v>195</v>
      </c>
      <c r="C43" s="139"/>
      <c r="D43" s="139"/>
      <c r="E43" s="139"/>
      <c r="F43" s="139"/>
      <c r="G43" s="139"/>
      <c r="H43" s="139"/>
      <c r="I43" s="139"/>
      <c r="J43" s="139"/>
    </row>
    <row r="44" spans="1:10" ht="12.75" hidden="1" outlineLevel="1">
      <c r="A44" s="74" t="s">
        <v>81</v>
      </c>
      <c r="B44" s="171">
        <f>1/8</f>
        <v>0.125</v>
      </c>
      <c r="C44" s="74"/>
      <c r="D44" s="74"/>
      <c r="E44" s="74"/>
      <c r="F44" s="74"/>
      <c r="G44" s="74"/>
      <c r="H44" s="74"/>
      <c r="I44" s="74"/>
      <c r="J44" s="74"/>
    </row>
    <row r="45" spans="1:10" ht="12.75" hidden="1" outlineLevel="1">
      <c r="A45" s="74" t="s">
        <v>82</v>
      </c>
      <c r="B45" s="170"/>
      <c r="C45" s="148"/>
      <c r="D45" s="148">
        <f aca="true" t="shared" si="32" ref="D45:J45">C48</f>
        <v>53800.92638350001</v>
      </c>
      <c r="E45" s="148">
        <f t="shared" si="32"/>
        <v>46293.82037650001</v>
      </c>
      <c r="F45" s="148">
        <f t="shared" si="32"/>
        <v>38786.714369500005</v>
      </c>
      <c r="G45" s="148">
        <f t="shared" si="32"/>
        <v>31279.608362500003</v>
      </c>
      <c r="H45" s="148">
        <f t="shared" si="32"/>
        <v>23772.5023555</v>
      </c>
      <c r="I45" s="148">
        <f t="shared" si="32"/>
        <v>16265.396348499999</v>
      </c>
      <c r="J45" s="148">
        <f t="shared" si="32"/>
        <v>8758.290341499996</v>
      </c>
    </row>
    <row r="46" spans="1:10" ht="12.75" hidden="1" outlineLevel="1">
      <c r="A46" s="74" t="s">
        <v>83</v>
      </c>
      <c r="B46" s="170"/>
      <c r="C46" s="148">
        <f>Инв!C39</f>
        <v>60056.84805600001</v>
      </c>
      <c r="D46" s="148"/>
      <c r="E46" s="148"/>
      <c r="F46" s="148"/>
      <c r="G46" s="148"/>
      <c r="H46" s="148"/>
      <c r="I46" s="148"/>
      <c r="J46" s="148"/>
    </row>
    <row r="47" spans="1:10" ht="12.75" hidden="1" outlineLevel="1">
      <c r="A47" s="150" t="s">
        <v>84</v>
      </c>
      <c r="B47" s="150"/>
      <c r="C47" s="149">
        <f>$C46*$B44/12*10</f>
        <v>6255.921672500001</v>
      </c>
      <c r="D47" s="149">
        <f>$C46*$B44</f>
        <v>7507.106007000001</v>
      </c>
      <c r="E47" s="149">
        <f aca="true" t="shared" si="33" ref="E47:J47">$C46*$B44</f>
        <v>7507.106007000001</v>
      </c>
      <c r="F47" s="149">
        <f t="shared" si="33"/>
        <v>7507.106007000001</v>
      </c>
      <c r="G47" s="149">
        <f t="shared" si="33"/>
        <v>7507.106007000001</v>
      </c>
      <c r="H47" s="149">
        <f t="shared" si="33"/>
        <v>7507.106007000001</v>
      </c>
      <c r="I47" s="149">
        <f t="shared" si="33"/>
        <v>7507.106007000001</v>
      </c>
      <c r="J47" s="149">
        <f t="shared" si="33"/>
        <v>7507.106007000001</v>
      </c>
    </row>
    <row r="48" spans="1:10" ht="12.75" hidden="1" outlineLevel="1">
      <c r="A48" s="74" t="s">
        <v>85</v>
      </c>
      <c r="B48" s="170"/>
      <c r="C48" s="148">
        <f aca="true" t="shared" si="34" ref="C48:I48">C45+C46-C47</f>
        <v>53800.92638350001</v>
      </c>
      <c r="D48" s="148">
        <f t="shared" si="34"/>
        <v>46293.82037650001</v>
      </c>
      <c r="E48" s="148">
        <f t="shared" si="34"/>
        <v>38786.714369500005</v>
      </c>
      <c r="F48" s="148">
        <f t="shared" si="34"/>
        <v>31279.608362500003</v>
      </c>
      <c r="G48" s="148">
        <f t="shared" si="34"/>
        <v>23772.5023555</v>
      </c>
      <c r="H48" s="148">
        <f t="shared" si="34"/>
        <v>16265.396348499999</v>
      </c>
      <c r="I48" s="148">
        <f t="shared" si="34"/>
        <v>8758.290341499996</v>
      </c>
      <c r="J48" s="148">
        <f>J45+J46-J47</f>
        <v>1251.1843344999952</v>
      </c>
    </row>
    <row r="49" ht="12.75" collapsed="1"/>
  </sheetData>
  <sheetProtection/>
  <printOptions/>
  <pageMargins left="0.39" right="0.75" top="0.3" bottom="1.87" header="0.2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ТЭО</dc:title>
  <dc:subject/>
  <dc:creator>m_anfinogenov</dc:creator>
  <cp:keywords/>
  <dc:description/>
  <cp:lastModifiedBy>МСБ консалтинг</cp:lastModifiedBy>
  <cp:lastPrinted>2013-09-17T09:45:21Z</cp:lastPrinted>
  <dcterms:created xsi:type="dcterms:W3CDTF">2006-03-01T15:11:19Z</dcterms:created>
  <dcterms:modified xsi:type="dcterms:W3CDTF">2013-09-24T07:55:30Z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